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AMOURI\Desktop\VPA Divisions\MPAC\Board 2026\"/>
    </mc:Choice>
  </mc:AlternateContent>
  <xr:revisionPtr revIDLastSave="0" documentId="8_{1D876F70-42E3-41D7-A792-244E29EEC846}" xr6:coauthVersionLast="47" xr6:coauthVersionMax="47" xr10:uidLastSave="{00000000-0000-0000-0000-000000000000}"/>
  <bookViews>
    <workbookView xWindow="-57720" yWindow="750" windowWidth="29040" windowHeight="15720" tabRatio="500" activeTab="2" xr2:uid="{00000000-000D-0000-FFFF-FFFF00000000}"/>
  </bookViews>
  <sheets>
    <sheet name="Morris 602" sheetId="1" r:id="rId1"/>
    <sheet name="Morris 416" sheetId="2" state="hidden" r:id="rId2"/>
    <sheet name="Palais 221" sheetId="3" r:id="rId3"/>
    <sheet name="CC 671" sheetId="4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9" i="3" l="1"/>
  <c r="F20" i="3"/>
  <c r="F21" i="3"/>
  <c r="F22" i="3"/>
  <c r="F23" i="3"/>
  <c r="F24" i="3"/>
  <c r="F25" i="3"/>
  <c r="F26" i="3"/>
  <c r="F27" i="3"/>
  <c r="F28" i="3"/>
  <c r="F29" i="3"/>
  <c r="F30" i="3"/>
  <c r="F18" i="3"/>
  <c r="F31" i="3"/>
  <c r="F10" i="3"/>
  <c r="F6" i="3"/>
  <c r="F7" i="3"/>
  <c r="F8" i="3"/>
  <c r="F9" i="3"/>
  <c r="F5" i="3"/>
  <c r="D33" i="3"/>
  <c r="J67" i="1"/>
  <c r="L55" i="1"/>
  <c r="E10" i="3"/>
  <c r="C9" i="3"/>
  <c r="B9" i="3"/>
  <c r="B8" i="3"/>
  <c r="C8" i="3"/>
  <c r="D8" i="3"/>
  <c r="D9" i="3"/>
  <c r="J13" i="1"/>
  <c r="L13" i="1" s="1"/>
  <c r="C12" i="4"/>
  <c r="D12" i="4" s="1"/>
  <c r="F12" i="4" s="1"/>
  <c r="C6" i="4"/>
  <c r="B6" i="4"/>
  <c r="E7" i="4"/>
  <c r="E16" i="4"/>
  <c r="B16" i="4"/>
  <c r="D15" i="4"/>
  <c r="F15" i="4" s="1"/>
  <c r="D14" i="4"/>
  <c r="F14" i="4" s="1"/>
  <c r="D13" i="4"/>
  <c r="F13" i="4" s="1"/>
  <c r="B7" i="4"/>
  <c r="D5" i="4" l="1"/>
  <c r="F5" i="4" s="1"/>
  <c r="C7" i="4"/>
  <c r="D6" i="4" l="1"/>
  <c r="F6" i="4" s="1"/>
  <c r="C16" i="4"/>
  <c r="F7" i="4"/>
  <c r="J24" i="1"/>
  <c r="L24" i="1" s="1"/>
  <c r="D7" i="4" l="1"/>
  <c r="F16" i="4"/>
  <c r="D16" i="4"/>
  <c r="J25" i="1" l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43" i="1"/>
  <c r="L43" i="1" s="1"/>
  <c r="J44" i="1"/>
  <c r="L44" i="1" s="1"/>
  <c r="J45" i="1"/>
  <c r="L45" i="1" s="1"/>
  <c r="J46" i="1"/>
  <c r="L46" i="1" s="1"/>
  <c r="J47" i="1"/>
  <c r="L47" i="1" s="1"/>
  <c r="J48" i="1"/>
  <c r="L48" i="1" s="1"/>
  <c r="J49" i="1"/>
  <c r="L49" i="1" s="1"/>
  <c r="J50" i="1"/>
  <c r="L50" i="1" s="1"/>
  <c r="J51" i="1"/>
  <c r="L51" i="1" s="1"/>
  <c r="J52" i="1"/>
  <c r="L52" i="1" s="1"/>
  <c r="J53" i="1"/>
  <c r="L53" i="1" s="1"/>
  <c r="J54" i="1"/>
  <c r="L54" i="1" s="1"/>
  <c r="J56" i="1"/>
  <c r="L56" i="1" s="1"/>
  <c r="J57" i="1"/>
  <c r="L57" i="1" s="1"/>
  <c r="J58" i="1"/>
  <c r="L58" i="1" s="1"/>
  <c r="J59" i="1"/>
  <c r="L59" i="1" s="1"/>
  <c r="J60" i="1"/>
  <c r="L60" i="1" s="1"/>
  <c r="J61" i="1"/>
  <c r="L61" i="1" s="1"/>
  <c r="J62" i="1"/>
  <c r="L62" i="1" s="1"/>
  <c r="J63" i="1"/>
  <c r="L63" i="1" s="1"/>
  <c r="J64" i="1"/>
  <c r="L64" i="1" s="1"/>
  <c r="D16" i="3"/>
  <c r="D17" i="3"/>
  <c r="D18" i="3"/>
  <c r="D19" i="3"/>
  <c r="D22" i="3"/>
  <c r="D23" i="3"/>
  <c r="D24" i="3"/>
  <c r="D25" i="3"/>
  <c r="D15" i="3"/>
  <c r="B30" i="3"/>
  <c r="B29" i="3"/>
  <c r="B28" i="3"/>
  <c r="B27" i="3"/>
  <c r="C26" i="3"/>
  <c r="D26" i="3" s="1"/>
  <c r="J6" i="1"/>
  <c r="L6" i="1" s="1"/>
  <c r="J7" i="1"/>
  <c r="L7" i="1" s="1"/>
  <c r="J8" i="1"/>
  <c r="L8" i="1" s="1"/>
  <c r="J9" i="1"/>
  <c r="L9" i="1" s="1"/>
  <c r="J10" i="1"/>
  <c r="L10" i="1" s="1"/>
  <c r="J11" i="1"/>
  <c r="L11" i="1" s="1"/>
  <c r="J12" i="1"/>
  <c r="L12" i="1" s="1"/>
  <c r="J14" i="1"/>
  <c r="L14" i="1" s="1"/>
  <c r="J15" i="1"/>
  <c r="L15" i="1" s="1"/>
  <c r="J16" i="1"/>
  <c r="L16" i="1" s="1"/>
  <c r="J17" i="1"/>
  <c r="J18" i="1"/>
  <c r="L18" i="1" s="1"/>
  <c r="J5" i="1"/>
  <c r="L5" i="1" s="1"/>
  <c r="E31" i="3"/>
  <c r="C21" i="3"/>
  <c r="C20" i="3"/>
  <c r="B21" i="3"/>
  <c r="D21" i="3" s="1"/>
  <c r="B20" i="3"/>
  <c r="C7" i="3"/>
  <c r="B7" i="3"/>
  <c r="B6" i="3"/>
  <c r="C6" i="3" s="1"/>
  <c r="B5" i="3"/>
  <c r="B10" i="3" s="1"/>
  <c r="C6" i="2"/>
  <c r="E6" i="2"/>
  <c r="C13" i="2"/>
  <c r="E13" i="2"/>
  <c r="E16" i="2" s="1"/>
  <c r="B13" i="2"/>
  <c r="D11" i="2"/>
  <c r="F11" i="2" s="1"/>
  <c r="F13" i="2" s="1"/>
  <c r="C5" i="2"/>
  <c r="B5" i="2"/>
  <c r="D5" i="2" s="1"/>
  <c r="F5" i="2" s="1"/>
  <c r="F6" i="2" s="1"/>
  <c r="B31" i="3" l="1"/>
  <c r="B33" i="3" s="1"/>
  <c r="D20" i="3"/>
  <c r="C27" i="3"/>
  <c r="C28" i="3"/>
  <c r="D28" i="3" s="1"/>
  <c r="C29" i="3"/>
  <c r="D29" i="3" s="1"/>
  <c r="C30" i="3"/>
  <c r="D30" i="3" s="1"/>
  <c r="C5" i="3"/>
  <c r="C10" i="3" s="1"/>
  <c r="D6" i="3"/>
  <c r="D7" i="3"/>
  <c r="D13" i="2"/>
  <c r="B6" i="2"/>
  <c r="D6" i="2"/>
  <c r="K65" i="1"/>
  <c r="C31" i="3" l="1"/>
  <c r="C33" i="3" s="1"/>
  <c r="C11" i="3"/>
  <c r="D27" i="3"/>
  <c r="D5" i="3"/>
  <c r="I65" i="1"/>
  <c r="H65" i="1"/>
  <c r="G65" i="1"/>
  <c r="F65" i="1"/>
  <c r="E65" i="1"/>
  <c r="D65" i="1"/>
  <c r="C65" i="1"/>
  <c r="B65" i="1"/>
  <c r="I19" i="1"/>
  <c r="H19" i="1"/>
  <c r="K19" i="1"/>
  <c r="G19" i="1"/>
  <c r="F19" i="1"/>
  <c r="E19" i="1"/>
  <c r="D19" i="1"/>
  <c r="C19" i="1"/>
  <c r="B19" i="1"/>
  <c r="H67" i="1" l="1"/>
  <c r="I67" i="1"/>
  <c r="D31" i="3"/>
  <c r="D10" i="3"/>
  <c r="J19" i="1"/>
  <c r="L19" i="1" s="1"/>
  <c r="J65" i="1"/>
  <c r="L65" i="1" s="1"/>
</calcChain>
</file>

<file path=xl/sharedStrings.xml><?xml version="1.0" encoding="utf-8"?>
<sst xmlns="http://schemas.openxmlformats.org/spreadsheetml/2006/main" count="188" uniqueCount="105">
  <si>
    <t>MORRIS PERFORMING ARTS CENTER — 2026 ACTUAL &amp; ROLLING FORECAST  |  Fund 602</t>
  </si>
  <si>
    <t xml:space="preserve"> ACTUAL (JAN – JUN)  </t>
  </si>
  <si>
    <t>Actuals</t>
  </si>
  <si>
    <t>Account / Description</t>
  </si>
  <si>
    <t>Jan</t>
  </si>
  <si>
    <t>Feb</t>
  </si>
  <si>
    <t>Mar</t>
  </si>
  <si>
    <t>Apr</t>
  </si>
  <si>
    <t>May</t>
  </si>
  <si>
    <t>Jun</t>
  </si>
  <si>
    <t>Q1</t>
  </si>
  <si>
    <t>Q2</t>
  </si>
  <si>
    <t>2026 Total</t>
  </si>
  <si>
    <t>Annual Budget</t>
  </si>
  <si>
    <t>REVENUES</t>
  </si>
  <si>
    <t>347010 - Concession Commissions</t>
  </si>
  <si>
    <t>347025 - Historic Preservation Fee</t>
  </si>
  <si>
    <t>347026 - Private Room Rental</t>
  </si>
  <si>
    <t>347028 - Transfer From 725 (Show Settle)</t>
  </si>
  <si>
    <t>347029 - Ticketing Fees</t>
  </si>
  <si>
    <t>347030 - Merch Commissions</t>
  </si>
  <si>
    <t>347036 - Marquee Sales</t>
  </si>
  <si>
    <t>347037 - Royal Box Program</t>
  </si>
  <si>
    <t>347049 - Other Services</t>
  </si>
  <si>
    <t>360000 - Miscellaneous</t>
  </si>
  <si>
    <t>361000 - Interest Earnings</t>
  </si>
  <si>
    <t>367000 - Donations from Private Sources</t>
  </si>
  <si>
    <t>380000 - Misc Reimbursements</t>
  </si>
  <si>
    <t>347050 - New Addition Space Rentals</t>
  </si>
  <si>
    <t>TOTAL REVENUE</t>
  </si>
  <si>
    <t>EXPENSES</t>
  </si>
  <si>
    <t>410001 - Salaried Wages</t>
  </si>
  <si>
    <t>410003 - Permanent Part Time</t>
  </si>
  <si>
    <t>411001 - FICA Regular</t>
  </si>
  <si>
    <t>411004 - PERF Regular</t>
  </si>
  <si>
    <t>411007 - Unemployment Comp</t>
  </si>
  <si>
    <t>411008 - Health Insurance</t>
  </si>
  <si>
    <t>411009 - Life Insurance</t>
  </si>
  <si>
    <t>411010 - Med/Surgical/Dental</t>
  </si>
  <si>
    <t>411014 - Parental Leave</t>
  </si>
  <si>
    <t>411205 - Parking Allowance</t>
  </si>
  <si>
    <t>411206 - Cell Phone Allowance</t>
  </si>
  <si>
    <t>421000 - General Office Supplies</t>
  </si>
  <si>
    <t>422000 - Other Operating Supplies</t>
  </si>
  <si>
    <t>422001 - C.S. Gasoline</t>
  </si>
  <si>
    <t>422005 - Uniforms</t>
  </si>
  <si>
    <t>422007 - Cleaning Supplies</t>
  </si>
  <si>
    <t>422008 - Medical/Safety Supplies</t>
  </si>
  <si>
    <t>423000 - Other R&amp;M Supplies</t>
  </si>
  <si>
    <t>423001 - Building Materials</t>
  </si>
  <si>
    <t>423006 - Small Tools &amp; Equipment</t>
  </si>
  <si>
    <t>431000 - Other Professional Services</t>
  </si>
  <si>
    <t>431019 - Security Services</t>
  </si>
  <si>
    <t>432002 - Mailing</t>
  </si>
  <si>
    <t>432003 - Travel</t>
  </si>
  <si>
    <t>433001 - Outside Printing Services</t>
  </si>
  <si>
    <t>433003 - Promotional</t>
  </si>
  <si>
    <t>435001 - Electric</t>
  </si>
  <si>
    <t>435002 - Natural Gas</t>
  </si>
  <si>
    <t>435004 - Water</t>
  </si>
  <si>
    <t>436001 - Building R&amp;M</t>
  </si>
  <si>
    <t>436005 - Other Equipment R&amp;M</t>
  </si>
  <si>
    <t>439002 - Licenses &amp; Permits</t>
  </si>
  <si>
    <t>439003 - Subscriptions</t>
  </si>
  <si>
    <t>439004 - Dues &amp; Memberships</t>
  </si>
  <si>
    <t>439006 - Education &amp; Training</t>
  </si>
  <si>
    <t>439009 - Trash Removal</t>
  </si>
  <si>
    <t>452002 - Allocations-Admin Cost</t>
  </si>
  <si>
    <t>452003 - Allocations-IT</t>
  </si>
  <si>
    <t>452004 - Allocations-Liability Insurance</t>
  </si>
  <si>
    <t>452009 - Allocations-Facilities Mgmt</t>
  </si>
  <si>
    <t>GRAND TOTAL EXPENSES</t>
  </si>
  <si>
    <t>GRAND TOTALS</t>
  </si>
  <si>
    <t>MEMO - FUND BALANCES</t>
  </si>
  <si>
    <t>Morris Performing Arts Operating Reserve (cash balance) as of June 30,2026:</t>
  </si>
  <si>
    <t>MORRIS PERFORMING ARTS CENTER | Fund 416</t>
  </si>
  <si>
    <t>Difference</t>
  </si>
  <si>
    <t>443001 - Building Improvements</t>
  </si>
  <si>
    <t>449000 - Depreciation Expense</t>
  </si>
  <si>
    <t>Grand Total:</t>
  </si>
  <si>
    <t>PALAIS ROYALE | Fund 221</t>
  </si>
  <si>
    <t>347032 - Common Area Maint</t>
  </si>
  <si>
    <t xml:space="preserve">347049 - Other Services </t>
  </si>
  <si>
    <t>347042 - Catering Sales</t>
  </si>
  <si>
    <t xml:space="preserve">423001 - Building Materials </t>
  </si>
  <si>
    <t xml:space="preserve">436005 - Other Equip R&amp;M </t>
  </si>
  <si>
    <t>439000 - Misc Charges &amp; Services</t>
  </si>
  <si>
    <t xml:space="preserve">439009 - Trash Removal </t>
  </si>
  <si>
    <t>452002 - Allocations - Admin Cost</t>
  </si>
  <si>
    <t>452003 - Alocations - IT</t>
  </si>
  <si>
    <t>452004 - Allocations - Liability Insurance</t>
  </si>
  <si>
    <t>452009 - Allocations - Facilities Mgmt</t>
  </si>
  <si>
    <t>Deficit/ Surplus</t>
  </si>
  <si>
    <t>Joint Liscensing Fund Balance:</t>
  </si>
  <si>
    <t>CENTURY CENTER | Fund 671</t>
  </si>
  <si>
    <t>338001 - Hotel/Motel Tax Cut</t>
  </si>
  <si>
    <t>47700 YTD. 439303.93 Currently Encumbered</t>
  </si>
  <si>
    <t>444000 - Land Improvements</t>
  </si>
  <si>
    <t>445008 - Other Equipment</t>
  </si>
  <si>
    <t>The Reserve (cash balance) as of June 30, 2026:</t>
  </si>
  <si>
    <t>Q1+ Q2 /Total</t>
  </si>
  <si>
    <t xml:space="preserve">Perecent of Budget </t>
  </si>
  <si>
    <t>Amended Budget</t>
  </si>
  <si>
    <t>439000-  Misc Charges &amp;Svcs</t>
  </si>
  <si>
    <t>Deficit/Surplus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</si>
</sst>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0;&quot;($&quot;#,##0.00\);\-"/>
    <numFmt numFmtId="165" formatCode="_(\$* #,##0.00_);_(\$* \(#,##0.00\);_(\$* \-??_);_(@_)"/>
    <numFmt numFmtId="166" formatCode="#,##0.00000000000"/>
  </numFmts>
  <fonts count="25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b/>
      <sz val="13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color theme="1"/>
      <name val="Arial"/>
      <family val="2"/>
      <charset val="1"/>
    </font>
    <font>
      <b/>
      <sz val="10"/>
      <color rgb="FFFFFFFF"/>
      <name val="Arial"/>
      <charset val="1"/>
    </font>
    <font>
      <b/>
      <sz val="10"/>
      <color rgb="FFFFFFFF"/>
      <name val="Arial"/>
      <family val="2"/>
      <charset val="1"/>
    </font>
    <font>
      <sz val="11"/>
      <color rgb="FF000000"/>
      <name val="Arial"/>
      <charset val="1"/>
    </font>
    <font>
      <sz val="11"/>
      <color rgb="FF274E13"/>
      <name val="Arial"/>
      <charset val="1"/>
    </font>
    <font>
      <b/>
      <sz val="11"/>
      <color rgb="FF000000"/>
      <name val="Arial"/>
      <charset val="1"/>
    </font>
    <font>
      <sz val="11"/>
      <color theme="1"/>
      <name val="Calibri"/>
      <family val="2"/>
      <charset val="1"/>
    </font>
    <font>
      <b/>
      <sz val="20"/>
      <color theme="1"/>
      <name val="Arial"/>
      <family val="2"/>
      <charset val="1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</font>
    <font>
      <sz val="11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20"/>
      <color theme="1"/>
      <name val="Calibri"/>
      <family val="2"/>
      <charset val="1"/>
    </font>
    <font>
      <sz val="20"/>
      <color rgb="FF000000"/>
      <name val="Calibri"/>
      <family val="2"/>
      <charset val="1"/>
    </font>
    <font>
      <sz val="12"/>
      <color rgb="FF404040"/>
      <name val="Arial"/>
      <family val="2"/>
      <charset val="1"/>
    </font>
    <font>
      <b/>
      <sz val="10"/>
      <color rgb="FFFFFFFF"/>
      <name val="Arial"/>
    </font>
    <font>
      <sz val="11"/>
      <color theme="1"/>
      <name val="Arial"/>
    </font>
    <font>
      <sz val="11"/>
      <color rgb="FFFF0000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rgb="FF1F3864"/>
        <bgColor rgb="FF17375E"/>
      </patternFill>
    </fill>
    <fill>
      <patternFill patternType="solid">
        <fgColor theme="6" tint="0.59968871120334488"/>
        <bgColor rgb="FFD9EAD3"/>
      </patternFill>
    </fill>
    <fill>
      <patternFill patternType="solid">
        <fgColor theme="3" tint="-0.249977111117893"/>
        <bgColor rgb="FF1F3864"/>
      </patternFill>
    </fill>
    <fill>
      <patternFill patternType="solid">
        <fgColor rgb="FFFFFFFF"/>
        <bgColor rgb="FFF2F2F2"/>
      </patternFill>
    </fill>
    <fill>
      <patternFill patternType="solid">
        <fgColor rgb="FFD9EAD3"/>
        <bgColor rgb="FFD7E4BD"/>
      </patternFill>
    </fill>
    <fill>
      <patternFill patternType="solid">
        <fgColor rgb="FFF2F2F2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D9EAD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theme="3" tint="-0.249977111117893"/>
        <bgColor rgb="FF17375E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D9EAD3"/>
      </patternFill>
    </fill>
    <fill>
      <patternFill patternType="solid">
        <fgColor theme="3" tint="-0.249977111117893"/>
        <bgColor rgb="FFF2F2F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0" fillId="0" borderId="0"/>
  </cellStyleXfs>
  <cellXfs count="87">
    <xf numFmtId="0" fontId="0" fillId="0" borderId="0" xfId="0"/>
    <xf numFmtId="0" fontId="1" fillId="0" borderId="0" xfId="0" applyFont="1"/>
    <xf numFmtId="0" fontId="1" fillId="2" borderId="0" xfId="0" applyFont="1" applyFill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left"/>
    </xf>
    <xf numFmtId="164" fontId="8" fillId="6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7" borderId="0" xfId="0" applyFont="1" applyFill="1" applyAlignment="1">
      <alignment horizontal="left"/>
    </xf>
    <xf numFmtId="0" fontId="5" fillId="2" borderId="0" xfId="0" applyFont="1" applyFill="1" applyAlignment="1">
      <alignment horizontal="left" vertical="center" indent="1"/>
    </xf>
    <xf numFmtId="164" fontId="5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1" fillId="5" borderId="0" xfId="0" applyFont="1" applyFill="1"/>
    <xf numFmtId="164" fontId="8" fillId="6" borderId="0" xfId="1" applyNumberFormat="1" applyFont="1" applyFill="1" applyAlignment="1">
      <alignment horizontal="right"/>
    </xf>
    <xf numFmtId="164" fontId="9" fillId="8" borderId="0" xfId="0" applyNumberFormat="1" applyFont="1" applyFill="1" applyAlignment="1">
      <alignment horizontal="right"/>
    </xf>
    <xf numFmtId="164" fontId="12" fillId="0" borderId="0" xfId="1" applyNumberFormat="1" applyFont="1"/>
    <xf numFmtId="0" fontId="13" fillId="5" borderId="0" xfId="0" applyFont="1" applyFill="1" applyAlignment="1">
      <alignment horizontal="left"/>
    </xf>
    <xf numFmtId="0" fontId="13" fillId="5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165" fontId="10" fillId="0" borderId="0" xfId="1"/>
    <xf numFmtId="0" fontId="13" fillId="7" borderId="0" xfId="0" applyFont="1" applyFill="1" applyAlignment="1">
      <alignment horizontal="left"/>
    </xf>
    <xf numFmtId="164" fontId="9" fillId="9" borderId="0" xfId="0" applyNumberFormat="1" applyFont="1" applyFill="1" applyAlignment="1">
      <alignment horizontal="right" vertical="center"/>
    </xf>
    <xf numFmtId="165" fontId="10" fillId="9" borderId="0" xfId="1" applyFill="1"/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165" fontId="10" fillId="0" borderId="0" xfId="1" applyAlignment="1">
      <alignment horizontal="right" vertical="center"/>
    </xf>
    <xf numFmtId="165" fontId="10" fillId="9" borderId="0" xfId="1" applyFill="1" applyAlignment="1">
      <alignment horizontal="right"/>
    </xf>
    <xf numFmtId="165" fontId="10" fillId="0" borderId="0" xfId="1" applyAlignment="1">
      <alignment horizontal="right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/>
    </xf>
    <xf numFmtId="0" fontId="15" fillId="0" borderId="1" xfId="0" applyFont="1" applyBorder="1"/>
    <xf numFmtId="165" fontId="15" fillId="0" borderId="1" xfId="1" applyFont="1" applyBorder="1"/>
    <xf numFmtId="0" fontId="13" fillId="0" borderId="0" xfId="0" applyFont="1" applyAlignment="1">
      <alignment horizontal="left"/>
    </xf>
    <xf numFmtId="4" fontId="16" fillId="0" borderId="0" xfId="0" applyNumberFormat="1" applyFont="1"/>
    <xf numFmtId="164" fontId="13" fillId="9" borderId="0" xfId="0" applyNumberFormat="1" applyFont="1" applyFill="1" applyAlignment="1">
      <alignment horizontal="right" vertical="center"/>
    </xf>
    <xf numFmtId="0" fontId="1" fillId="13" borderId="0" xfId="0" applyFont="1" applyFill="1"/>
    <xf numFmtId="0" fontId="1" fillId="13" borderId="5" xfId="0" applyFont="1" applyFill="1" applyBorder="1"/>
    <xf numFmtId="4" fontId="1" fillId="0" borderId="0" xfId="0" applyNumberFormat="1" applyFont="1"/>
    <xf numFmtId="4" fontId="0" fillId="0" borderId="0" xfId="0" applyNumberFormat="1"/>
    <xf numFmtId="0" fontId="21" fillId="0" borderId="9" xfId="0" applyFont="1" applyBorder="1" applyAlignment="1">
      <alignment wrapText="1"/>
    </xf>
    <xf numFmtId="0" fontId="22" fillId="2" borderId="0" xfId="0" applyFont="1" applyFill="1" applyAlignment="1">
      <alignment horizontal="right" vertical="center" indent="1"/>
    </xf>
    <xf numFmtId="165" fontId="10" fillId="0" borderId="10" xfId="1" applyBorder="1"/>
    <xf numFmtId="0" fontId="23" fillId="0" borderId="0" xfId="0" applyFont="1"/>
    <xf numFmtId="4" fontId="0" fillId="0" borderId="0" xfId="0" applyNumberFormat="1" applyAlignment="1">
      <alignment vertical="center"/>
    </xf>
    <xf numFmtId="165" fontId="24" fillId="0" borderId="11" xfId="1" applyFont="1" applyBorder="1"/>
    <xf numFmtId="0" fontId="1" fillId="14" borderId="0" xfId="0" applyFont="1" applyFill="1"/>
    <xf numFmtId="0" fontId="3" fillId="13" borderId="0" xfId="0" applyFont="1" applyFill="1" applyAlignment="1">
      <alignment horizontal="right" vertical="center"/>
    </xf>
    <xf numFmtId="0" fontId="5" fillId="13" borderId="0" xfId="0" applyFont="1" applyFill="1" applyAlignment="1">
      <alignment horizontal="left" vertical="center"/>
    </xf>
    <xf numFmtId="0" fontId="5" fillId="13" borderId="0" xfId="0" applyFont="1" applyFill="1" applyAlignment="1">
      <alignment horizontal="center" vertical="center" wrapText="1"/>
    </xf>
    <xf numFmtId="10" fontId="7" fillId="0" borderId="0" xfId="0" applyNumberFormat="1" applyFont="1" applyAlignment="1">
      <alignment horizontal="right"/>
    </xf>
    <xf numFmtId="10" fontId="5" fillId="2" borderId="0" xfId="0" applyNumberFormat="1" applyFont="1" applyFill="1" applyAlignment="1">
      <alignment horizontal="right"/>
    </xf>
    <xf numFmtId="0" fontId="1" fillId="16" borderId="0" xfId="0" applyFont="1" applyFill="1"/>
    <xf numFmtId="0" fontId="14" fillId="13" borderId="0" xfId="0" applyFont="1" applyFill="1" applyAlignment="1">
      <alignment horizontal="center" vertical="center" wrapText="1"/>
    </xf>
    <xf numFmtId="166" fontId="1" fillId="0" borderId="0" xfId="0" applyNumberFormat="1" applyFont="1"/>
    <xf numFmtId="165" fontId="24" fillId="0" borderId="10" xfId="1" applyFont="1" applyBorder="1"/>
    <xf numFmtId="0" fontId="14" fillId="2" borderId="0" xfId="0" applyFont="1" applyFill="1" applyAlignment="1">
      <alignment horizontal="right" vertical="center" indent="1"/>
    </xf>
    <xf numFmtId="165" fontId="10" fillId="0" borderId="11" xfId="1" applyBorder="1"/>
    <xf numFmtId="10" fontId="10" fillId="0" borderId="0" xfId="1" applyNumberFormat="1" applyAlignment="1">
      <alignment horizontal="right" vertical="center"/>
    </xf>
    <xf numFmtId="10" fontId="10" fillId="0" borderId="0" xfId="1" applyNumberFormat="1"/>
    <xf numFmtId="0" fontId="17" fillId="12" borderId="2" xfId="0" applyFont="1" applyFill="1" applyBorder="1" applyAlignment="1">
      <alignment horizontal="center"/>
    </xf>
    <xf numFmtId="0" fontId="17" fillId="12" borderId="3" xfId="0" applyFont="1" applyFill="1" applyBorder="1" applyAlignment="1">
      <alignment horizontal="center"/>
    </xf>
    <xf numFmtId="0" fontId="18" fillId="12" borderId="4" xfId="0" applyFont="1" applyFill="1" applyBorder="1" applyAlignment="1">
      <alignment horizontal="center"/>
    </xf>
    <xf numFmtId="0" fontId="18" fillId="12" borderId="5" xfId="0" applyFont="1" applyFill="1" applyBorder="1" applyAlignment="1">
      <alignment horizontal="center"/>
    </xf>
    <xf numFmtId="165" fontId="20" fillId="0" borderId="6" xfId="0" applyNumberFormat="1" applyFont="1" applyBorder="1" applyAlignment="1">
      <alignment horizontal="center" vertical="center"/>
    </xf>
    <xf numFmtId="165" fontId="20" fillId="0" borderId="7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left" vertical="center" indent="1"/>
    </xf>
    <xf numFmtId="0" fontId="11" fillId="10" borderId="0" xfId="0" applyFont="1" applyFill="1" applyAlignment="1">
      <alignment horizontal="center"/>
    </xf>
    <xf numFmtId="0" fontId="6" fillId="4" borderId="0" xfId="0" applyFont="1" applyFill="1" applyAlignment="1">
      <alignment vertical="center"/>
    </xf>
    <xf numFmtId="0" fontId="11" fillId="3" borderId="0" xfId="0" applyFont="1" applyFill="1" applyAlignment="1">
      <alignment horizontal="center"/>
    </xf>
    <xf numFmtId="0" fontId="6" fillId="4" borderId="0" xfId="0" applyFont="1" applyFill="1" applyAlignment="1">
      <alignment horizontal="left" vertical="center"/>
    </xf>
    <xf numFmtId="0" fontId="11" fillId="15" borderId="0" xfId="0" applyFont="1" applyFill="1" applyAlignment="1">
      <alignment horizontal="center"/>
    </xf>
    <xf numFmtId="0" fontId="2" fillId="13" borderId="0" xfId="0" applyFont="1" applyFill="1" applyAlignment="1">
      <alignment horizontal="left" vertical="center" indent="1"/>
    </xf>
    <xf numFmtId="0" fontId="4" fillId="15" borderId="0" xfId="0" applyFont="1" applyFill="1" applyAlignment="1">
      <alignment horizontal="left"/>
    </xf>
    <xf numFmtId="0" fontId="6" fillId="4" borderId="0" xfId="0" applyFont="1" applyFill="1" applyAlignment="1">
      <alignment horizontal="left" vertical="center" indent="1"/>
    </xf>
    <xf numFmtId="0" fontId="17" fillId="11" borderId="2" xfId="0" applyFont="1" applyFill="1" applyBorder="1" applyAlignment="1">
      <alignment horizontal="left"/>
    </xf>
    <xf numFmtId="0" fontId="17" fillId="11" borderId="8" xfId="0" applyFont="1" applyFill="1" applyBorder="1" applyAlignment="1">
      <alignment horizontal="left"/>
    </xf>
    <xf numFmtId="0" fontId="17" fillId="11" borderId="3" xfId="0" applyFont="1" applyFill="1" applyBorder="1" applyAlignment="1">
      <alignment horizontal="left"/>
    </xf>
    <xf numFmtId="0" fontId="18" fillId="11" borderId="4" xfId="0" applyFont="1" applyFill="1" applyBorder="1" applyAlignment="1">
      <alignment horizontal="left"/>
    </xf>
    <xf numFmtId="0" fontId="18" fillId="11" borderId="0" xfId="0" applyFont="1" applyFill="1" applyAlignment="1">
      <alignment horizontal="left"/>
    </xf>
    <xf numFmtId="0" fontId="18" fillId="11" borderId="5" xfId="0" applyFont="1" applyFill="1" applyBorder="1" applyAlignment="1">
      <alignment horizontal="left"/>
    </xf>
    <xf numFmtId="165" fontId="19" fillId="0" borderId="6" xfId="1" applyFont="1" applyBorder="1" applyAlignment="1">
      <alignment horizontal="center" vertical="center"/>
    </xf>
    <xf numFmtId="165" fontId="19" fillId="0" borderId="1" xfId="1" applyFont="1" applyBorder="1" applyAlignment="1">
      <alignment horizontal="center" vertical="center"/>
    </xf>
    <xf numFmtId="165" fontId="19" fillId="0" borderId="7" xfId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7E4BD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274E13"/>
      <rgbColor rgb="FF993300"/>
      <rgbColor rgb="FF993366"/>
      <rgbColor rgb="FF1C3E73"/>
      <rgbColor rgb="FF1F386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1"/>
  <sheetViews>
    <sheetView showGridLines="0" zoomScaleNormal="100" workbookViewId="0">
      <pane ySplit="3" topLeftCell="A44" activePane="bottomLeft" state="frozen"/>
      <selection pane="bottomLeft" activeCell="L3" sqref="L3"/>
    </sheetView>
  </sheetViews>
  <sheetFormatPr defaultColWidth="14" defaultRowHeight="14.25" x14ac:dyDescent="0.2"/>
  <cols>
    <col min="1" max="1" width="78.28515625" style="1" customWidth="1"/>
    <col min="2" max="7" width="17.140625" style="1" hidden="1" customWidth="1"/>
    <col min="8" max="9" width="31.28515625" style="1" customWidth="1"/>
    <col min="10" max="11" width="26.28515625" style="1" customWidth="1"/>
    <col min="12" max="12" width="23.42578125" style="1" customWidth="1"/>
    <col min="13" max="16384" width="14" style="1"/>
  </cols>
  <sheetData>
    <row r="1" spans="1:12" ht="31.5" customHeight="1" x14ac:dyDescent="0.2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49"/>
    </row>
    <row r="2" spans="1:12" ht="19.5" customHeight="1" x14ac:dyDescent="0.4">
      <c r="A2" s="50"/>
      <c r="B2" s="76" t="s">
        <v>1</v>
      </c>
      <c r="C2" s="76"/>
      <c r="D2" s="76"/>
      <c r="E2" s="76"/>
      <c r="F2" s="76"/>
      <c r="G2" s="76"/>
      <c r="H2" s="74" t="s">
        <v>2</v>
      </c>
      <c r="I2" s="74"/>
      <c r="J2" s="39"/>
      <c r="K2" s="39"/>
      <c r="L2" s="49"/>
    </row>
    <row r="3" spans="1:12" ht="21.75" customHeight="1" x14ac:dyDescent="0.2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2" t="s">
        <v>100</v>
      </c>
      <c r="K3" s="56" t="s">
        <v>102</v>
      </c>
      <c r="L3" s="56" t="s">
        <v>101</v>
      </c>
    </row>
    <row r="4" spans="1:12" ht="19.5" customHeight="1" x14ac:dyDescent="0.2">
      <c r="A4" s="77" t="s">
        <v>14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49"/>
    </row>
    <row r="5" spans="1:12" ht="15" customHeight="1" x14ac:dyDescent="0.25">
      <c r="A5" s="5" t="s">
        <v>15</v>
      </c>
      <c r="B5" s="6">
        <v>5906</v>
      </c>
      <c r="C5" s="6">
        <v>11708</v>
      </c>
      <c r="D5" s="6">
        <v>14347</v>
      </c>
      <c r="E5" s="6">
        <v>14346.53</v>
      </c>
      <c r="F5" s="6">
        <v>20930.55</v>
      </c>
      <c r="G5" s="6">
        <v>726.81</v>
      </c>
      <c r="H5" s="16">
        <v>31960.94</v>
      </c>
      <c r="I5" s="16">
        <v>49170.29</v>
      </c>
      <c r="J5" s="7">
        <f t="shared" ref="J5:J18" si="0">SUM(H5:I5)</f>
        <v>81131.23</v>
      </c>
      <c r="K5" s="8">
        <v>160000</v>
      </c>
      <c r="L5" s="53">
        <f>J5/K5</f>
        <v>0.50707018749999999</v>
      </c>
    </row>
    <row r="6" spans="1:12" ht="15" customHeight="1" x14ac:dyDescent="0.25">
      <c r="A6" s="9" t="s">
        <v>16</v>
      </c>
      <c r="B6" s="6">
        <v>7458</v>
      </c>
      <c r="C6" s="6">
        <v>16193</v>
      </c>
      <c r="D6" s="6">
        <v>15257</v>
      </c>
      <c r="E6" s="6">
        <v>12929.5</v>
      </c>
      <c r="F6" s="6">
        <v>18406.25</v>
      </c>
      <c r="G6" s="6">
        <v>8982.25</v>
      </c>
      <c r="H6" s="16">
        <v>38907.25</v>
      </c>
      <c r="I6" s="16">
        <v>40318</v>
      </c>
      <c r="J6" s="7">
        <f t="shared" si="0"/>
        <v>79225.25</v>
      </c>
      <c r="K6" s="8">
        <v>575000</v>
      </c>
      <c r="L6" s="53">
        <f t="shared" ref="L6:L18" si="1">J6/K6</f>
        <v>0.13778304347826087</v>
      </c>
    </row>
    <row r="7" spans="1:12" ht="15" customHeight="1" x14ac:dyDescent="0.25">
      <c r="A7" s="5" t="s">
        <v>17</v>
      </c>
      <c r="B7" s="6">
        <v>4775</v>
      </c>
      <c r="C7" s="6">
        <v>12275</v>
      </c>
      <c r="D7" s="6">
        <v>17007</v>
      </c>
      <c r="E7" s="6">
        <v>12376.5</v>
      </c>
      <c r="F7" s="6">
        <v>19067.75</v>
      </c>
      <c r="G7" s="6">
        <v>43498.97</v>
      </c>
      <c r="H7" s="16">
        <v>34057.410000000003</v>
      </c>
      <c r="I7" s="16">
        <v>77833.22</v>
      </c>
      <c r="J7" s="7">
        <f t="shared" si="0"/>
        <v>111890.63</v>
      </c>
      <c r="K7" s="17">
        <v>240000</v>
      </c>
      <c r="L7" s="53">
        <f t="shared" si="1"/>
        <v>0.46621095833333337</v>
      </c>
    </row>
    <row r="8" spans="1:12" ht="15" hidden="1" customHeight="1" x14ac:dyDescent="0.25">
      <c r="A8" s="9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16">
        <v>0</v>
      </c>
      <c r="I8" s="16">
        <v>0</v>
      </c>
      <c r="J8" s="7">
        <f t="shared" si="0"/>
        <v>0</v>
      </c>
      <c r="K8" s="17">
        <v>135000</v>
      </c>
      <c r="L8" s="53">
        <f t="shared" si="1"/>
        <v>0</v>
      </c>
    </row>
    <row r="9" spans="1:12" ht="15" customHeight="1" x14ac:dyDescent="0.25">
      <c r="A9" s="5" t="s">
        <v>19</v>
      </c>
      <c r="B9" s="6">
        <v>13472.05</v>
      </c>
      <c r="C9" s="6">
        <v>38413.599999999999</v>
      </c>
      <c r="D9" s="6">
        <v>34306.35</v>
      </c>
      <c r="E9" s="6">
        <v>28268.54</v>
      </c>
      <c r="F9" s="6">
        <v>47429.2</v>
      </c>
      <c r="G9" s="6">
        <v>26434.1</v>
      </c>
      <c r="H9" s="16">
        <v>86192</v>
      </c>
      <c r="I9" s="16">
        <v>102131.84</v>
      </c>
      <c r="J9" s="7">
        <f t="shared" si="0"/>
        <v>188323.84</v>
      </c>
      <c r="K9" s="17">
        <v>650000</v>
      </c>
      <c r="L9" s="53">
        <f t="shared" si="1"/>
        <v>0.2897289846153846</v>
      </c>
    </row>
    <row r="10" spans="1:12" ht="15" customHeight="1" x14ac:dyDescent="0.25">
      <c r="A10" s="9" t="s">
        <v>20</v>
      </c>
      <c r="B10" s="6">
        <v>0</v>
      </c>
      <c r="C10" s="6">
        <v>1565</v>
      </c>
      <c r="D10" s="6">
        <v>170</v>
      </c>
      <c r="E10" s="6">
        <v>988.64</v>
      </c>
      <c r="F10" s="6">
        <v>0</v>
      </c>
      <c r="G10" s="6">
        <v>0</v>
      </c>
      <c r="H10" s="16">
        <v>1735</v>
      </c>
      <c r="I10" s="16">
        <v>988.64</v>
      </c>
      <c r="J10" s="7">
        <f t="shared" si="0"/>
        <v>2723.64</v>
      </c>
      <c r="K10" s="17">
        <v>45000</v>
      </c>
      <c r="L10" s="53">
        <f t="shared" si="1"/>
        <v>6.0525333333333334E-2</v>
      </c>
    </row>
    <row r="11" spans="1:12" ht="15" customHeight="1" x14ac:dyDescent="0.25">
      <c r="A11" s="5" t="s">
        <v>21</v>
      </c>
      <c r="B11" s="6">
        <v>0</v>
      </c>
      <c r="C11" s="6">
        <v>0</v>
      </c>
      <c r="D11" s="6">
        <v>250</v>
      </c>
      <c r="E11" s="6">
        <v>250</v>
      </c>
      <c r="F11" s="6">
        <v>1000</v>
      </c>
      <c r="G11" s="6">
        <v>650</v>
      </c>
      <c r="H11" s="16">
        <v>250</v>
      </c>
      <c r="I11" s="16">
        <v>1900</v>
      </c>
      <c r="J11" s="7">
        <f t="shared" si="0"/>
        <v>2150</v>
      </c>
      <c r="K11" s="17">
        <v>12000</v>
      </c>
      <c r="L11" s="53">
        <f t="shared" si="1"/>
        <v>0.17916666666666667</v>
      </c>
    </row>
    <row r="12" spans="1:12" ht="15" customHeight="1" x14ac:dyDescent="0.25">
      <c r="A12" s="9" t="s">
        <v>22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16">
        <v>0</v>
      </c>
      <c r="I12" s="16">
        <v>0</v>
      </c>
      <c r="J12" s="7">
        <f t="shared" si="0"/>
        <v>0</v>
      </c>
      <c r="K12" s="17">
        <v>50000</v>
      </c>
      <c r="L12" s="53">
        <f t="shared" si="1"/>
        <v>0</v>
      </c>
    </row>
    <row r="13" spans="1:12" ht="15" customHeight="1" x14ac:dyDescent="0.25">
      <c r="A13" s="5" t="s">
        <v>23</v>
      </c>
      <c r="B13" s="6">
        <v>12647</v>
      </c>
      <c r="C13" s="6">
        <v>115016.79</v>
      </c>
      <c r="D13" s="6">
        <v>52726.37</v>
      </c>
      <c r="E13" s="6">
        <v>-16592.87</v>
      </c>
      <c r="F13" s="6">
        <v>40533.599999999999</v>
      </c>
      <c r="G13" s="6">
        <v>26504.79</v>
      </c>
      <c r="H13" s="16">
        <v>184143.71</v>
      </c>
      <c r="I13" s="16">
        <v>50445.52</v>
      </c>
      <c r="J13" s="7">
        <f t="shared" si="0"/>
        <v>234589.22999999998</v>
      </c>
      <c r="K13" s="17">
        <v>66000</v>
      </c>
      <c r="L13" s="53">
        <f t="shared" si="1"/>
        <v>3.5543822727272723</v>
      </c>
    </row>
    <row r="14" spans="1:12" ht="15" customHeight="1" x14ac:dyDescent="0.25">
      <c r="A14" s="9" t="s">
        <v>24</v>
      </c>
      <c r="B14" s="6">
        <v>114.55</v>
      </c>
      <c r="C14" s="6">
        <v>0.57999999999999996</v>
      </c>
      <c r="D14" s="6">
        <v>2.42</v>
      </c>
      <c r="E14" s="6">
        <v>300.75</v>
      </c>
      <c r="F14" s="6">
        <v>1.96</v>
      </c>
      <c r="G14" s="6">
        <v>2353.4699999999998</v>
      </c>
      <c r="H14" s="16">
        <v>117.55</v>
      </c>
      <c r="I14" s="16">
        <v>2656.18</v>
      </c>
      <c r="J14" s="7">
        <f t="shared" si="0"/>
        <v>2773.73</v>
      </c>
      <c r="K14" s="17">
        <v>46000</v>
      </c>
      <c r="L14" s="53">
        <f t="shared" si="1"/>
        <v>6.0298478260869565E-2</v>
      </c>
    </row>
    <row r="15" spans="1:12" ht="15" customHeight="1" x14ac:dyDescent="0.25">
      <c r="A15" s="5" t="s">
        <v>25</v>
      </c>
      <c r="B15" s="6">
        <v>1907.3</v>
      </c>
      <c r="C15" s="6">
        <v>1812.5</v>
      </c>
      <c r="D15" s="6">
        <v>2135</v>
      </c>
      <c r="E15" s="6">
        <v>5484.39</v>
      </c>
      <c r="F15" s="6">
        <v>3293.94</v>
      </c>
      <c r="G15" s="6">
        <v>0</v>
      </c>
      <c r="H15" s="16">
        <v>3719.8</v>
      </c>
      <c r="I15" s="16">
        <v>12149.42</v>
      </c>
      <c r="J15" s="7">
        <f t="shared" si="0"/>
        <v>15869.220000000001</v>
      </c>
      <c r="K15" s="17">
        <v>16800</v>
      </c>
      <c r="L15" s="53">
        <f t="shared" si="1"/>
        <v>0.94459642857142867</v>
      </c>
    </row>
    <row r="16" spans="1:12" ht="15" customHeight="1" x14ac:dyDescent="0.25">
      <c r="A16" s="9" t="s">
        <v>26</v>
      </c>
      <c r="B16" s="6">
        <v>0</v>
      </c>
      <c r="C16" s="6">
        <v>0</v>
      </c>
      <c r="D16" s="6">
        <v>0</v>
      </c>
      <c r="E16" s="6">
        <v>19.25</v>
      </c>
      <c r="F16" s="6">
        <v>1750</v>
      </c>
      <c r="G16" s="6">
        <v>500</v>
      </c>
      <c r="H16" s="16">
        <v>0</v>
      </c>
      <c r="I16" s="16">
        <v>2269.25</v>
      </c>
      <c r="J16" s="7">
        <f t="shared" si="0"/>
        <v>2269.25</v>
      </c>
      <c r="K16" s="17">
        <v>150000</v>
      </c>
      <c r="L16" s="53">
        <f t="shared" si="1"/>
        <v>1.5128333333333334E-2</v>
      </c>
    </row>
    <row r="17" spans="1:12" ht="15" customHeight="1" x14ac:dyDescent="0.25">
      <c r="A17" s="5" t="s">
        <v>27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16">
        <v>0</v>
      </c>
      <c r="I17" s="16">
        <v>0</v>
      </c>
      <c r="J17" s="7">
        <f t="shared" si="0"/>
        <v>0</v>
      </c>
      <c r="K17" s="17">
        <v>0</v>
      </c>
      <c r="L17" s="53">
        <v>0</v>
      </c>
    </row>
    <row r="18" spans="1:12" ht="15" customHeight="1" x14ac:dyDescent="0.25">
      <c r="A18" s="9" t="s">
        <v>28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16">
        <v>0</v>
      </c>
      <c r="I18" s="16">
        <v>0</v>
      </c>
      <c r="J18" s="7">
        <f t="shared" si="0"/>
        <v>0</v>
      </c>
      <c r="K18" s="17">
        <v>12600</v>
      </c>
      <c r="L18" s="53">
        <f t="shared" si="1"/>
        <v>0</v>
      </c>
    </row>
    <row r="19" spans="1:12" ht="19.5" customHeight="1" x14ac:dyDescent="0.2">
      <c r="A19" s="10" t="s">
        <v>29</v>
      </c>
      <c r="B19" s="11">
        <f t="shared" ref="B19:J19" si="2">SUM(B5:B18)</f>
        <v>46279.900000000009</v>
      </c>
      <c r="C19" s="11">
        <f t="shared" si="2"/>
        <v>196984.47</v>
      </c>
      <c r="D19" s="11">
        <f t="shared" si="2"/>
        <v>136201.14000000001</v>
      </c>
      <c r="E19" s="11">
        <f t="shared" si="2"/>
        <v>58371.23000000001</v>
      </c>
      <c r="F19" s="11">
        <f t="shared" si="2"/>
        <v>152413.25</v>
      </c>
      <c r="G19" s="11">
        <f t="shared" si="2"/>
        <v>109650.39000000001</v>
      </c>
      <c r="H19" s="11">
        <f>SUM(H5:H18)</f>
        <v>381083.66</v>
      </c>
      <c r="I19" s="11">
        <f>SUM(I5:I18)</f>
        <v>339862.36</v>
      </c>
      <c r="J19" s="11">
        <f t="shared" si="2"/>
        <v>720946.0199999999</v>
      </c>
      <c r="K19" s="11">
        <f>SUM(K5:K18)</f>
        <v>2158400</v>
      </c>
      <c r="L19" s="54">
        <f>J19/K19</f>
        <v>0.3340187268346923</v>
      </c>
    </row>
    <row r="20" spans="1:12" ht="19.5" customHeight="1" x14ac:dyDescent="0.2">
      <c r="A20" s="12"/>
      <c r="B20" s="13"/>
      <c r="E20" s="12"/>
      <c r="H20" s="41"/>
      <c r="J20" s="12"/>
      <c r="K20" s="12"/>
    </row>
    <row r="21" spans="1:12" s="14" customFormat="1" ht="21.75" customHeight="1" x14ac:dyDescent="0.4">
      <c r="A21" s="50"/>
      <c r="B21" s="76" t="s">
        <v>1</v>
      </c>
      <c r="C21" s="76"/>
      <c r="D21" s="76"/>
      <c r="E21" s="76"/>
      <c r="F21" s="76"/>
      <c r="G21" s="76"/>
      <c r="H21" s="74" t="s">
        <v>2</v>
      </c>
      <c r="I21" s="74"/>
      <c r="J21" s="39"/>
      <c r="K21" s="40"/>
      <c r="L21" s="55"/>
    </row>
    <row r="22" spans="1:12" ht="21.75" customHeight="1" x14ac:dyDescent="0.2">
      <c r="A22" s="51" t="s">
        <v>3</v>
      </c>
      <c r="B22" s="52" t="s">
        <v>4</v>
      </c>
      <c r="C22" s="52" t="s">
        <v>5</v>
      </c>
      <c r="D22" s="52" t="s">
        <v>6</v>
      </c>
      <c r="E22" s="52" t="s">
        <v>7</v>
      </c>
      <c r="F22" s="52" t="s">
        <v>8</v>
      </c>
      <c r="G22" s="52" t="s">
        <v>9</v>
      </c>
      <c r="H22" s="52" t="s">
        <v>10</v>
      </c>
      <c r="I22" s="52" t="s">
        <v>11</v>
      </c>
      <c r="J22" s="52" t="s">
        <v>100</v>
      </c>
      <c r="K22" s="56" t="s">
        <v>102</v>
      </c>
      <c r="L22" s="56" t="s">
        <v>101</v>
      </c>
    </row>
    <row r="23" spans="1:12" ht="24" customHeight="1" x14ac:dyDescent="0.2">
      <c r="A23" s="77" t="s">
        <v>30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49"/>
    </row>
    <row r="24" spans="1:12" ht="21.75" customHeight="1" x14ac:dyDescent="0.25">
      <c r="A24" s="5" t="s">
        <v>31</v>
      </c>
      <c r="B24" s="6">
        <v>55831</v>
      </c>
      <c r="C24" s="6">
        <v>37744</v>
      </c>
      <c r="D24" s="6">
        <v>28019</v>
      </c>
      <c r="E24" s="15">
        <v>32793.49</v>
      </c>
      <c r="F24" s="15">
        <v>38465.97</v>
      </c>
      <c r="G24" s="15">
        <v>38357.760000000002</v>
      </c>
      <c r="H24" s="16">
        <v>121592.99</v>
      </c>
      <c r="I24" s="16">
        <v>109617.22</v>
      </c>
      <c r="J24" s="7">
        <f t="shared" ref="J24:J54" si="3">SUM(H24:I24)</f>
        <v>231210.21000000002</v>
      </c>
      <c r="K24" s="8">
        <v>510755</v>
      </c>
      <c r="L24" s="53">
        <f>J24/K24</f>
        <v>0.45268320427602277</v>
      </c>
    </row>
    <row r="25" spans="1:12" ht="15" customHeight="1" x14ac:dyDescent="0.25">
      <c r="A25" s="9" t="s">
        <v>32</v>
      </c>
      <c r="B25" s="6">
        <v>9247</v>
      </c>
      <c r="C25" s="6">
        <v>6761</v>
      </c>
      <c r="D25" s="6">
        <v>8253</v>
      </c>
      <c r="E25" s="15">
        <v>6529.73</v>
      </c>
      <c r="F25" s="15">
        <v>6607.28</v>
      </c>
      <c r="G25" s="15">
        <v>7079.28</v>
      </c>
      <c r="H25" s="16">
        <v>24260.65</v>
      </c>
      <c r="I25" s="16">
        <v>20216.29</v>
      </c>
      <c r="J25" s="7">
        <f t="shared" si="3"/>
        <v>44476.94</v>
      </c>
      <c r="K25" s="8">
        <v>66000</v>
      </c>
      <c r="L25" s="53">
        <f t="shared" ref="L25:L64" si="4">J25/K25</f>
        <v>0.67389303030303038</v>
      </c>
    </row>
    <row r="26" spans="1:12" ht="15" customHeight="1" x14ac:dyDescent="0.25">
      <c r="A26" s="5" t="s">
        <v>33</v>
      </c>
      <c r="B26" s="6">
        <v>4989</v>
      </c>
      <c r="C26" s="6">
        <v>3428</v>
      </c>
      <c r="D26" s="6">
        <v>2662</v>
      </c>
      <c r="E26" s="15">
        <v>2858.21</v>
      </c>
      <c r="F26" s="15">
        <v>3290.36</v>
      </c>
      <c r="G26" s="15">
        <v>3312.97</v>
      </c>
      <c r="H26" s="16">
        <v>11079.78</v>
      </c>
      <c r="I26" s="16">
        <v>9461.5400000000009</v>
      </c>
      <c r="J26" s="7">
        <f t="shared" si="3"/>
        <v>20541.32</v>
      </c>
      <c r="K26" s="8">
        <v>44254.87</v>
      </c>
      <c r="L26" s="53">
        <f t="shared" si="4"/>
        <v>0.46415953769607726</v>
      </c>
    </row>
    <row r="27" spans="1:12" ht="15" customHeight="1" x14ac:dyDescent="0.25">
      <c r="A27" s="9" t="s">
        <v>34</v>
      </c>
      <c r="B27" s="6">
        <v>6099</v>
      </c>
      <c r="C27" s="6">
        <v>3469</v>
      </c>
      <c r="D27" s="6">
        <v>2716</v>
      </c>
      <c r="E27" s="15">
        <v>3095.37</v>
      </c>
      <c r="F27" s="15">
        <v>3119</v>
      </c>
      <c r="G27" s="15">
        <v>4170.26</v>
      </c>
      <c r="H27" s="16">
        <v>12284.19</v>
      </c>
      <c r="I27" s="16">
        <v>10384.629999999999</v>
      </c>
      <c r="J27" s="7">
        <f t="shared" si="3"/>
        <v>22668.82</v>
      </c>
      <c r="K27" s="8">
        <v>57399.44</v>
      </c>
      <c r="L27" s="53">
        <f t="shared" si="4"/>
        <v>0.39493103068601365</v>
      </c>
    </row>
    <row r="28" spans="1:12" ht="15" customHeight="1" x14ac:dyDescent="0.25">
      <c r="A28" s="5" t="s">
        <v>35</v>
      </c>
      <c r="B28" s="6">
        <v>8</v>
      </c>
      <c r="C28" s="6">
        <v>3</v>
      </c>
      <c r="D28" s="6">
        <v>21</v>
      </c>
      <c r="E28" s="15">
        <v>46.47</v>
      </c>
      <c r="F28" s="15">
        <v>54.79</v>
      </c>
      <c r="G28" s="15">
        <v>10.74</v>
      </c>
      <c r="H28" s="16">
        <v>31.7</v>
      </c>
      <c r="I28" s="16">
        <v>112</v>
      </c>
      <c r="J28" s="7">
        <f t="shared" si="3"/>
        <v>143.69999999999999</v>
      </c>
      <c r="K28" s="8">
        <v>614.99</v>
      </c>
      <c r="L28" s="53">
        <f t="shared" si="4"/>
        <v>0.23366233597294261</v>
      </c>
    </row>
    <row r="29" spans="1:12" ht="15" customHeight="1" x14ac:dyDescent="0.25">
      <c r="A29" s="9" t="s">
        <v>36</v>
      </c>
      <c r="B29" s="6">
        <v>5075</v>
      </c>
      <c r="C29" s="6">
        <v>4245</v>
      </c>
      <c r="D29" s="6">
        <v>4239</v>
      </c>
      <c r="E29" s="15">
        <v>5657.54</v>
      </c>
      <c r="F29" s="15">
        <v>6187.08</v>
      </c>
      <c r="G29" s="15">
        <v>6680.68</v>
      </c>
      <c r="H29" s="16">
        <v>13559.12</v>
      </c>
      <c r="I29" s="16">
        <v>18525.3</v>
      </c>
      <c r="J29" s="7">
        <f t="shared" si="3"/>
        <v>32084.42</v>
      </c>
      <c r="K29" s="8">
        <v>116503.2</v>
      </c>
      <c r="L29" s="53">
        <f t="shared" si="4"/>
        <v>0.27539518227825499</v>
      </c>
    </row>
    <row r="30" spans="1:12" ht="15" customHeight="1" x14ac:dyDescent="0.25">
      <c r="A30" s="5" t="s">
        <v>37</v>
      </c>
      <c r="B30" s="6">
        <v>100</v>
      </c>
      <c r="C30" s="6">
        <v>56</v>
      </c>
      <c r="D30" s="6">
        <v>56</v>
      </c>
      <c r="E30" s="15">
        <v>60.26</v>
      </c>
      <c r="F30" s="15">
        <v>64.58</v>
      </c>
      <c r="G30" s="15">
        <v>68.14</v>
      </c>
      <c r="H30" s="16">
        <v>211.64</v>
      </c>
      <c r="I30" s="16">
        <v>192.98</v>
      </c>
      <c r="J30" s="7">
        <f t="shared" si="3"/>
        <v>404.62</v>
      </c>
      <c r="K30" s="8">
        <v>960</v>
      </c>
      <c r="L30" s="53">
        <f t="shared" si="4"/>
        <v>0.42147916666666668</v>
      </c>
    </row>
    <row r="31" spans="1:12" ht="15" customHeight="1" x14ac:dyDescent="0.25">
      <c r="A31" s="9" t="s">
        <v>38</v>
      </c>
      <c r="B31" s="6">
        <v>118</v>
      </c>
      <c r="C31" s="6">
        <v>87</v>
      </c>
      <c r="D31" s="6">
        <v>86</v>
      </c>
      <c r="E31" s="15">
        <v>106.34</v>
      </c>
      <c r="F31" s="15">
        <v>122.48</v>
      </c>
      <c r="G31" s="15">
        <v>138.62</v>
      </c>
      <c r="H31" s="16">
        <v>291.06</v>
      </c>
      <c r="I31" s="16">
        <v>367.44</v>
      </c>
      <c r="J31" s="7">
        <f t="shared" si="3"/>
        <v>658.5</v>
      </c>
      <c r="K31" s="8">
        <v>1200</v>
      </c>
      <c r="L31" s="53">
        <f t="shared" si="4"/>
        <v>0.54874999999999996</v>
      </c>
    </row>
    <row r="32" spans="1:12" ht="15" customHeight="1" x14ac:dyDescent="0.25">
      <c r="A32" s="5" t="s">
        <v>39</v>
      </c>
      <c r="B32" s="6">
        <v>191</v>
      </c>
      <c r="C32" s="6">
        <v>125</v>
      </c>
      <c r="D32" s="6">
        <v>351</v>
      </c>
      <c r="E32" s="15">
        <v>108.62</v>
      </c>
      <c r="F32" s="15">
        <v>127.34</v>
      </c>
      <c r="G32" s="15">
        <v>126.98</v>
      </c>
      <c r="H32" s="16">
        <v>666.78</v>
      </c>
      <c r="I32" s="16">
        <v>362.94</v>
      </c>
      <c r="J32" s="7">
        <f t="shared" si="3"/>
        <v>1029.72</v>
      </c>
      <c r="K32" s="8">
        <v>1691.23</v>
      </c>
      <c r="L32" s="53">
        <f t="shared" si="4"/>
        <v>0.60885864134387402</v>
      </c>
    </row>
    <row r="33" spans="1:12" ht="15" customHeight="1" x14ac:dyDescent="0.25">
      <c r="A33" s="9" t="s">
        <v>40</v>
      </c>
      <c r="B33" s="6">
        <v>365</v>
      </c>
      <c r="C33" s="6">
        <v>365</v>
      </c>
      <c r="D33" s="6">
        <v>365</v>
      </c>
      <c r="E33" s="15">
        <v>290</v>
      </c>
      <c r="F33" s="15">
        <v>400</v>
      </c>
      <c r="G33" s="15">
        <v>750.16</v>
      </c>
      <c r="H33" s="16">
        <v>1095</v>
      </c>
      <c r="I33" s="16">
        <v>1440.16</v>
      </c>
      <c r="J33" s="7">
        <f t="shared" si="3"/>
        <v>2535.16</v>
      </c>
      <c r="K33" s="8">
        <v>4380</v>
      </c>
      <c r="L33" s="53">
        <f t="shared" si="4"/>
        <v>0.57880365296803649</v>
      </c>
    </row>
    <row r="34" spans="1:12" ht="15" customHeight="1" x14ac:dyDescent="0.25">
      <c r="A34" s="5" t="s">
        <v>41</v>
      </c>
      <c r="B34" s="6">
        <v>145</v>
      </c>
      <c r="C34" s="6">
        <v>110</v>
      </c>
      <c r="D34" s="6">
        <v>110</v>
      </c>
      <c r="E34" s="15">
        <v>110</v>
      </c>
      <c r="F34" s="15">
        <v>110</v>
      </c>
      <c r="G34" s="15">
        <v>110</v>
      </c>
      <c r="H34" s="16">
        <v>365</v>
      </c>
      <c r="I34" s="16">
        <v>330</v>
      </c>
      <c r="J34" s="7">
        <f t="shared" si="3"/>
        <v>695</v>
      </c>
      <c r="K34" s="8">
        <v>1740</v>
      </c>
      <c r="L34" s="53">
        <f t="shared" si="4"/>
        <v>0.39942528735632182</v>
      </c>
    </row>
    <row r="35" spans="1:12" ht="15" customHeight="1" x14ac:dyDescent="0.25">
      <c r="A35" s="9" t="s">
        <v>42</v>
      </c>
      <c r="B35" s="6">
        <v>184</v>
      </c>
      <c r="C35" s="6">
        <v>225</v>
      </c>
      <c r="D35" s="6">
        <v>482</v>
      </c>
      <c r="E35" s="15">
        <v>110.5</v>
      </c>
      <c r="F35" s="15">
        <v>1935.24</v>
      </c>
      <c r="G35" s="15">
        <v>385.43</v>
      </c>
      <c r="H35" s="16">
        <v>890.83</v>
      </c>
      <c r="I35" s="16">
        <v>2431.17</v>
      </c>
      <c r="J35" s="7">
        <f t="shared" si="3"/>
        <v>3322</v>
      </c>
      <c r="K35" s="8">
        <v>6000</v>
      </c>
      <c r="L35" s="53">
        <f t="shared" si="4"/>
        <v>0.55366666666666664</v>
      </c>
    </row>
    <row r="36" spans="1:12" ht="15" customHeight="1" x14ac:dyDescent="0.25">
      <c r="A36" s="5" t="s">
        <v>43</v>
      </c>
      <c r="B36" s="6">
        <v>0</v>
      </c>
      <c r="C36" s="6">
        <v>7</v>
      </c>
      <c r="D36" s="6">
        <v>235</v>
      </c>
      <c r="E36" s="15">
        <v>0</v>
      </c>
      <c r="F36" s="15">
        <v>0</v>
      </c>
      <c r="G36" s="15">
        <v>0</v>
      </c>
      <c r="H36" s="16">
        <v>241.63</v>
      </c>
      <c r="I36" s="16">
        <v>0</v>
      </c>
      <c r="J36" s="7">
        <f t="shared" si="3"/>
        <v>241.63</v>
      </c>
      <c r="K36" s="8">
        <v>3000</v>
      </c>
      <c r="L36" s="53">
        <f t="shared" si="4"/>
        <v>8.0543333333333328E-2</v>
      </c>
    </row>
    <row r="37" spans="1:12" ht="15" customHeight="1" x14ac:dyDescent="0.25">
      <c r="A37" s="9" t="s">
        <v>44</v>
      </c>
      <c r="B37" s="6">
        <v>18</v>
      </c>
      <c r="C37" s="6">
        <v>0</v>
      </c>
      <c r="D37" s="6">
        <v>0</v>
      </c>
      <c r="E37" s="15">
        <v>0</v>
      </c>
      <c r="F37" s="15">
        <v>0</v>
      </c>
      <c r="G37" s="15">
        <v>0</v>
      </c>
      <c r="H37" s="16">
        <v>17.82</v>
      </c>
      <c r="I37" s="16">
        <v>38.29</v>
      </c>
      <c r="J37" s="7">
        <f t="shared" si="3"/>
        <v>56.11</v>
      </c>
      <c r="K37" s="8">
        <v>210</v>
      </c>
      <c r="L37" s="53">
        <f t="shared" si="4"/>
        <v>0.2671904761904762</v>
      </c>
    </row>
    <row r="38" spans="1:12" ht="15" customHeight="1" x14ac:dyDescent="0.25">
      <c r="A38" s="5" t="s">
        <v>45</v>
      </c>
      <c r="B38" s="6">
        <v>0</v>
      </c>
      <c r="C38" s="6">
        <v>0</v>
      </c>
      <c r="D38" s="6">
        <v>0</v>
      </c>
      <c r="E38" s="15">
        <v>0</v>
      </c>
      <c r="F38" s="15">
        <v>0</v>
      </c>
      <c r="G38" s="15">
        <v>0</v>
      </c>
      <c r="H38" s="16">
        <v>0</v>
      </c>
      <c r="I38" s="16">
        <v>0</v>
      </c>
      <c r="J38" s="7">
        <f t="shared" si="3"/>
        <v>0</v>
      </c>
      <c r="K38" s="8">
        <v>1000</v>
      </c>
      <c r="L38" s="53">
        <f t="shared" si="4"/>
        <v>0</v>
      </c>
    </row>
    <row r="39" spans="1:12" ht="15" customHeight="1" x14ac:dyDescent="0.25">
      <c r="A39" s="9" t="s">
        <v>46</v>
      </c>
      <c r="B39" s="6">
        <v>0</v>
      </c>
      <c r="C39" s="6">
        <v>1880</v>
      </c>
      <c r="D39" s="6">
        <v>0</v>
      </c>
      <c r="E39" s="15">
        <v>0</v>
      </c>
      <c r="F39" s="15">
        <v>0</v>
      </c>
      <c r="G39" s="15">
        <v>0</v>
      </c>
      <c r="H39" s="16">
        <v>1880.48</v>
      </c>
      <c r="I39" s="16">
        <v>0</v>
      </c>
      <c r="J39" s="7">
        <f t="shared" si="3"/>
        <v>1880.48</v>
      </c>
      <c r="K39" s="8">
        <v>13179</v>
      </c>
      <c r="L39" s="53">
        <f t="shared" si="4"/>
        <v>0.14268760907504363</v>
      </c>
    </row>
    <row r="40" spans="1:12" ht="15" customHeight="1" x14ac:dyDescent="0.25">
      <c r="A40" s="5" t="s">
        <v>47</v>
      </c>
      <c r="B40" s="6">
        <v>0</v>
      </c>
      <c r="C40" s="6">
        <v>0</v>
      </c>
      <c r="D40" s="6">
        <v>0</v>
      </c>
      <c r="E40" s="15">
        <v>0</v>
      </c>
      <c r="F40" s="15">
        <v>0</v>
      </c>
      <c r="G40" s="15">
        <v>0</v>
      </c>
      <c r="H40" s="16">
        <v>0</v>
      </c>
      <c r="I40" s="16">
        <v>0</v>
      </c>
      <c r="J40" s="7">
        <f t="shared" si="3"/>
        <v>0</v>
      </c>
      <c r="K40" s="8">
        <v>250</v>
      </c>
      <c r="L40" s="53">
        <f t="shared" si="4"/>
        <v>0</v>
      </c>
    </row>
    <row r="41" spans="1:12" ht="15" customHeight="1" x14ac:dyDescent="0.25">
      <c r="A41" s="9" t="s">
        <v>48</v>
      </c>
      <c r="B41" s="6">
        <v>0</v>
      </c>
      <c r="C41" s="6">
        <v>331</v>
      </c>
      <c r="D41" s="6">
        <v>0</v>
      </c>
      <c r="E41" s="15">
        <v>0</v>
      </c>
      <c r="F41" s="15">
        <v>0</v>
      </c>
      <c r="G41" s="15">
        <v>0</v>
      </c>
      <c r="H41" s="16">
        <v>330.58</v>
      </c>
      <c r="I41" s="16">
        <v>0</v>
      </c>
      <c r="J41" s="7">
        <f t="shared" si="3"/>
        <v>330.58</v>
      </c>
      <c r="K41" s="8">
        <v>1000</v>
      </c>
      <c r="L41" s="53">
        <f t="shared" si="4"/>
        <v>0.33057999999999998</v>
      </c>
    </row>
    <row r="42" spans="1:12" ht="15" customHeight="1" x14ac:dyDescent="0.25">
      <c r="A42" s="5" t="s">
        <v>49</v>
      </c>
      <c r="B42" s="6">
        <v>925</v>
      </c>
      <c r="C42" s="6">
        <v>16084</v>
      </c>
      <c r="D42" s="6">
        <v>502</v>
      </c>
      <c r="E42" s="15">
        <v>6251.07</v>
      </c>
      <c r="F42" s="15">
        <v>644.82000000000005</v>
      </c>
      <c r="G42" s="15">
        <v>608.87</v>
      </c>
      <c r="H42" s="16">
        <v>17511.47</v>
      </c>
      <c r="I42" s="16">
        <v>7504.76</v>
      </c>
      <c r="J42" s="7">
        <f t="shared" si="3"/>
        <v>25016.230000000003</v>
      </c>
      <c r="K42" s="8">
        <v>64747.46</v>
      </c>
      <c r="L42" s="53">
        <f t="shared" si="4"/>
        <v>0.38636619876671613</v>
      </c>
    </row>
    <row r="43" spans="1:12" ht="15" customHeight="1" x14ac:dyDescent="0.25">
      <c r="A43" s="9" t="s">
        <v>50</v>
      </c>
      <c r="B43" s="6">
        <v>1153</v>
      </c>
      <c r="C43" s="6">
        <v>1190</v>
      </c>
      <c r="D43" s="6">
        <v>5509</v>
      </c>
      <c r="E43" s="15">
        <v>322.98</v>
      </c>
      <c r="F43" s="15">
        <v>1647.7</v>
      </c>
      <c r="G43" s="15">
        <v>605.54</v>
      </c>
      <c r="H43" s="16">
        <v>7851.71</v>
      </c>
      <c r="I43" s="16">
        <v>2576.2199999999998</v>
      </c>
      <c r="J43" s="7">
        <f t="shared" si="3"/>
        <v>10427.93</v>
      </c>
      <c r="K43" s="8">
        <v>20700</v>
      </c>
      <c r="L43" s="53">
        <f t="shared" si="4"/>
        <v>0.50376473429951696</v>
      </c>
    </row>
    <row r="44" spans="1:12" ht="15" customHeight="1" x14ac:dyDescent="0.25">
      <c r="A44" s="5" t="s">
        <v>51</v>
      </c>
      <c r="B44" s="6">
        <v>0</v>
      </c>
      <c r="C44" s="6">
        <v>0</v>
      </c>
      <c r="D44" s="6">
        <v>756</v>
      </c>
      <c r="E44" s="15">
        <v>3645.81</v>
      </c>
      <c r="F44" s="15">
        <v>7830</v>
      </c>
      <c r="G44" s="15">
        <v>1319.85</v>
      </c>
      <c r="H44" s="16">
        <v>756</v>
      </c>
      <c r="I44" s="16">
        <v>12795.66</v>
      </c>
      <c r="J44" s="7">
        <f t="shared" si="3"/>
        <v>13551.66</v>
      </c>
      <c r="K44" s="8">
        <v>55000</v>
      </c>
      <c r="L44" s="53">
        <f t="shared" si="4"/>
        <v>0.24639381818181819</v>
      </c>
    </row>
    <row r="45" spans="1:12" ht="15" customHeight="1" x14ac:dyDescent="0.25">
      <c r="A45" s="9" t="s">
        <v>52</v>
      </c>
      <c r="B45" s="6">
        <v>60</v>
      </c>
      <c r="C45" s="6">
        <v>22</v>
      </c>
      <c r="D45" s="6">
        <v>20</v>
      </c>
      <c r="E45" s="15">
        <v>19.98</v>
      </c>
      <c r="F45" s="15">
        <v>328.98</v>
      </c>
      <c r="G45" s="15">
        <v>19.98</v>
      </c>
      <c r="H45" s="16">
        <v>101.56</v>
      </c>
      <c r="I45" s="16">
        <v>368.94</v>
      </c>
      <c r="J45" s="7">
        <f t="shared" si="3"/>
        <v>470.5</v>
      </c>
      <c r="K45" s="8">
        <v>33125</v>
      </c>
      <c r="L45" s="53">
        <f t="shared" si="4"/>
        <v>1.420377358490566E-2</v>
      </c>
    </row>
    <row r="46" spans="1:12" ht="15" customHeight="1" x14ac:dyDescent="0.25">
      <c r="A46" s="9" t="s">
        <v>53</v>
      </c>
      <c r="B46" s="6">
        <v>1321.48</v>
      </c>
      <c r="C46" s="6">
        <v>64.069999999999993</v>
      </c>
      <c r="D46" s="6">
        <v>21.96</v>
      </c>
      <c r="E46" s="15">
        <v>46.85</v>
      </c>
      <c r="F46" s="15">
        <v>22.68</v>
      </c>
      <c r="G46" s="15">
        <v>18.260000000000002</v>
      </c>
      <c r="H46" s="16">
        <v>1407.51</v>
      </c>
      <c r="I46" s="16">
        <v>87.79</v>
      </c>
      <c r="J46" s="7">
        <f t="shared" si="3"/>
        <v>1495.3</v>
      </c>
      <c r="K46" s="8">
        <v>3000</v>
      </c>
      <c r="L46" s="53">
        <f t="shared" si="4"/>
        <v>0.49843333333333334</v>
      </c>
    </row>
    <row r="47" spans="1:12" ht="15" customHeight="1" x14ac:dyDescent="0.25">
      <c r="A47" s="5" t="s">
        <v>54</v>
      </c>
      <c r="B47" s="6">
        <v>0</v>
      </c>
      <c r="C47" s="6">
        <v>558.6</v>
      </c>
      <c r="D47" s="6">
        <v>1285.8</v>
      </c>
      <c r="E47" s="15">
        <v>2085.96</v>
      </c>
      <c r="F47" s="15">
        <v>0</v>
      </c>
      <c r="G47" s="15">
        <v>0</v>
      </c>
      <c r="H47" s="16">
        <v>1844.4</v>
      </c>
      <c r="I47" s="16">
        <v>2085.96</v>
      </c>
      <c r="J47" s="7">
        <f t="shared" si="3"/>
        <v>3930.36</v>
      </c>
      <c r="K47" s="8">
        <v>8695.7000000000007</v>
      </c>
      <c r="L47" s="53">
        <f t="shared" si="4"/>
        <v>0.45198891406097264</v>
      </c>
    </row>
    <row r="48" spans="1:12" ht="15" customHeight="1" x14ac:dyDescent="0.25">
      <c r="A48" s="9" t="s">
        <v>55</v>
      </c>
      <c r="B48" s="6">
        <v>152</v>
      </c>
      <c r="C48" s="6">
        <v>0</v>
      </c>
      <c r="D48" s="6">
        <v>0</v>
      </c>
      <c r="E48" s="15">
        <v>0</v>
      </c>
      <c r="F48" s="15">
        <v>0</v>
      </c>
      <c r="G48" s="15">
        <v>5003.25</v>
      </c>
      <c r="H48" s="16">
        <v>152</v>
      </c>
      <c r="I48" s="16">
        <v>5003.25</v>
      </c>
      <c r="J48" s="7">
        <f t="shared" si="3"/>
        <v>5155.25</v>
      </c>
      <c r="K48" s="8">
        <v>16444</v>
      </c>
      <c r="L48" s="53">
        <f t="shared" si="4"/>
        <v>0.31350340549744588</v>
      </c>
    </row>
    <row r="49" spans="1:12" ht="15" customHeight="1" x14ac:dyDescent="0.25">
      <c r="A49" s="5" t="s">
        <v>56</v>
      </c>
      <c r="B49" s="6">
        <v>9774.25</v>
      </c>
      <c r="C49" s="6">
        <v>350</v>
      </c>
      <c r="D49" s="6">
        <v>16156</v>
      </c>
      <c r="E49" s="15">
        <v>640</v>
      </c>
      <c r="F49" s="15">
        <v>9575</v>
      </c>
      <c r="G49" s="15">
        <v>17724</v>
      </c>
      <c r="H49" s="16">
        <v>26280.25</v>
      </c>
      <c r="I49" s="16">
        <v>27939</v>
      </c>
      <c r="J49" s="7">
        <f t="shared" si="3"/>
        <v>54219.25</v>
      </c>
      <c r="K49" s="8">
        <v>162440.85</v>
      </c>
      <c r="L49" s="53">
        <f t="shared" si="4"/>
        <v>0.33377841842122841</v>
      </c>
    </row>
    <row r="50" spans="1:12" ht="15" customHeight="1" x14ac:dyDescent="0.25">
      <c r="A50" s="9" t="s">
        <v>57</v>
      </c>
      <c r="B50" s="6">
        <v>6391.82</v>
      </c>
      <c r="C50" s="6">
        <v>16958.82</v>
      </c>
      <c r="D50" s="6">
        <v>12064.32</v>
      </c>
      <c r="E50" s="15">
        <v>11287.23</v>
      </c>
      <c r="F50" s="15">
        <v>12821.34</v>
      </c>
      <c r="G50" s="15">
        <v>15767.95</v>
      </c>
      <c r="H50" s="16">
        <v>35414.959999999999</v>
      </c>
      <c r="I50" s="16">
        <v>39876.519999999997</v>
      </c>
      <c r="J50" s="7">
        <f t="shared" si="3"/>
        <v>75291.48</v>
      </c>
      <c r="K50" s="8">
        <v>165000</v>
      </c>
      <c r="L50" s="53">
        <f t="shared" si="4"/>
        <v>0.456312</v>
      </c>
    </row>
    <row r="51" spans="1:12" ht="15" customHeight="1" x14ac:dyDescent="0.25">
      <c r="A51" s="5" t="s">
        <v>58</v>
      </c>
      <c r="B51" s="6">
        <v>9378.35</v>
      </c>
      <c r="C51" s="6">
        <v>6786.91</v>
      </c>
      <c r="D51" s="6">
        <v>3892.99</v>
      </c>
      <c r="E51" s="15">
        <v>2155.0100000000002</v>
      </c>
      <c r="F51" s="15">
        <v>1604.43</v>
      </c>
      <c r="G51" s="15">
        <v>1071</v>
      </c>
      <c r="H51" s="16">
        <v>20058.25</v>
      </c>
      <c r="I51" s="16">
        <v>4830.4399999999996</v>
      </c>
      <c r="J51" s="7">
        <f t="shared" si="3"/>
        <v>24888.69</v>
      </c>
      <c r="K51" s="8">
        <v>40000</v>
      </c>
      <c r="L51" s="53">
        <f t="shared" si="4"/>
        <v>0.62221724999999994</v>
      </c>
    </row>
    <row r="52" spans="1:12" ht="15" customHeight="1" x14ac:dyDescent="0.25">
      <c r="A52" s="9" t="s">
        <v>59</v>
      </c>
      <c r="B52" s="6">
        <v>1364.34</v>
      </c>
      <c r="C52" s="6">
        <v>1534.75</v>
      </c>
      <c r="D52" s="6">
        <v>1472.91</v>
      </c>
      <c r="E52" s="15">
        <v>1229.45</v>
      </c>
      <c r="F52" s="15">
        <v>1410.4</v>
      </c>
      <c r="G52" s="15">
        <v>1390.66</v>
      </c>
      <c r="H52" s="16">
        <v>4372</v>
      </c>
      <c r="I52" s="16">
        <v>4030.51</v>
      </c>
      <c r="J52" s="7">
        <f t="shared" si="3"/>
        <v>8402.51</v>
      </c>
      <c r="K52" s="8">
        <v>32000</v>
      </c>
      <c r="L52" s="53">
        <f t="shared" si="4"/>
        <v>0.26257843749999998</v>
      </c>
    </row>
    <row r="53" spans="1:12" ht="15" customHeight="1" x14ac:dyDescent="0.25">
      <c r="A53" s="5" t="s">
        <v>60</v>
      </c>
      <c r="B53" s="6">
        <v>4849.68</v>
      </c>
      <c r="C53" s="6">
        <v>0</v>
      </c>
      <c r="D53" s="6">
        <v>1396.65</v>
      </c>
      <c r="E53" s="15">
        <v>460.11</v>
      </c>
      <c r="F53" s="15">
        <v>0</v>
      </c>
      <c r="G53" s="15">
        <v>0</v>
      </c>
      <c r="H53" s="16">
        <v>6246.33</v>
      </c>
      <c r="I53" s="16">
        <v>460.11</v>
      </c>
      <c r="J53" s="7">
        <f t="shared" si="3"/>
        <v>6706.44</v>
      </c>
      <c r="K53" s="8">
        <v>105653.56</v>
      </c>
      <c r="L53" s="53">
        <f t="shared" si="4"/>
        <v>6.3475759832418321E-2</v>
      </c>
    </row>
    <row r="54" spans="1:12" ht="15" customHeight="1" x14ac:dyDescent="0.25">
      <c r="A54" s="9" t="s">
        <v>61</v>
      </c>
      <c r="B54" s="6">
        <v>0</v>
      </c>
      <c r="C54" s="6">
        <v>0</v>
      </c>
      <c r="D54" s="6">
        <v>6182.13</v>
      </c>
      <c r="E54" s="15">
        <v>0</v>
      </c>
      <c r="F54" s="15">
        <v>0</v>
      </c>
      <c r="G54" s="15">
        <v>805</v>
      </c>
      <c r="H54" s="16">
        <v>6182.13</v>
      </c>
      <c r="I54" s="16">
        <v>805</v>
      </c>
      <c r="J54" s="7">
        <f t="shared" si="3"/>
        <v>6987.13</v>
      </c>
      <c r="K54" s="8">
        <v>61439.98</v>
      </c>
      <c r="L54" s="53">
        <f t="shared" si="4"/>
        <v>0.11372285602957552</v>
      </c>
    </row>
    <row r="55" spans="1:12" ht="15" customHeight="1" x14ac:dyDescent="0.25">
      <c r="A55" s="9" t="s">
        <v>103</v>
      </c>
      <c r="B55" s="6"/>
      <c r="C55" s="6"/>
      <c r="D55" s="6"/>
      <c r="E55" s="15"/>
      <c r="F55" s="15"/>
      <c r="G55" s="15"/>
      <c r="H55" s="16">
        <v>0</v>
      </c>
      <c r="I55" s="16">
        <v>0</v>
      </c>
      <c r="J55" s="7">
        <v>0</v>
      </c>
      <c r="K55" s="8">
        <v>190</v>
      </c>
      <c r="L55" s="53">
        <f t="shared" si="4"/>
        <v>0</v>
      </c>
    </row>
    <row r="56" spans="1:12" ht="15" customHeight="1" x14ac:dyDescent="0.25">
      <c r="A56" s="5" t="s">
        <v>62</v>
      </c>
      <c r="B56" s="6">
        <v>3030</v>
      </c>
      <c r="C56" s="6">
        <v>1086</v>
      </c>
      <c r="D56" s="6">
        <v>416</v>
      </c>
      <c r="E56" s="15">
        <v>0</v>
      </c>
      <c r="F56" s="15">
        <v>0</v>
      </c>
      <c r="G56" s="15">
        <v>0</v>
      </c>
      <c r="H56" s="16">
        <v>4531.67</v>
      </c>
      <c r="I56" s="16">
        <v>0</v>
      </c>
      <c r="J56" s="7">
        <f t="shared" ref="J56:J64" si="5">SUM(H56:I56)</f>
        <v>4531.67</v>
      </c>
      <c r="K56" s="8">
        <v>5100</v>
      </c>
      <c r="L56" s="53">
        <f t="shared" si="4"/>
        <v>0.88856274509803923</v>
      </c>
    </row>
    <row r="57" spans="1:12" ht="15" customHeight="1" x14ac:dyDescent="0.25">
      <c r="A57" s="9" t="s">
        <v>63</v>
      </c>
      <c r="B57" s="6">
        <v>10417</v>
      </c>
      <c r="C57" s="6">
        <v>0</v>
      </c>
      <c r="D57" s="6">
        <v>11541</v>
      </c>
      <c r="E57" s="15">
        <v>0</v>
      </c>
      <c r="F57" s="15">
        <v>997.21</v>
      </c>
      <c r="G57" s="15">
        <v>0</v>
      </c>
      <c r="H57" s="16">
        <v>21958.39</v>
      </c>
      <c r="I57" s="16">
        <v>997.21</v>
      </c>
      <c r="J57" s="7">
        <f t="shared" si="5"/>
        <v>22955.599999999999</v>
      </c>
      <c r="K57" s="8">
        <v>98891.99</v>
      </c>
      <c r="L57" s="53">
        <f t="shared" si="4"/>
        <v>0.2321280014690775</v>
      </c>
    </row>
    <row r="58" spans="1:12" ht="15" customHeight="1" x14ac:dyDescent="0.25">
      <c r="A58" s="5" t="s">
        <v>64</v>
      </c>
      <c r="B58" s="6">
        <v>0</v>
      </c>
      <c r="C58" s="6">
        <v>0</v>
      </c>
      <c r="D58" s="6">
        <v>3800</v>
      </c>
      <c r="E58" s="15">
        <v>129.61000000000001</v>
      </c>
      <c r="F58" s="15">
        <v>150</v>
      </c>
      <c r="G58" s="15">
        <v>0</v>
      </c>
      <c r="H58" s="16">
        <v>3800</v>
      </c>
      <c r="I58" s="16">
        <v>279.61</v>
      </c>
      <c r="J58" s="7">
        <f t="shared" si="5"/>
        <v>4079.61</v>
      </c>
      <c r="K58" s="8">
        <v>5000</v>
      </c>
      <c r="L58" s="53">
        <f t="shared" si="4"/>
        <v>0.81592200000000004</v>
      </c>
    </row>
    <row r="59" spans="1:12" ht="15" customHeight="1" x14ac:dyDescent="0.25">
      <c r="A59" s="9" t="s">
        <v>65</v>
      </c>
      <c r="B59" s="6">
        <v>0</v>
      </c>
      <c r="C59" s="6">
        <v>663</v>
      </c>
      <c r="D59" s="6">
        <v>3975</v>
      </c>
      <c r="E59" s="15">
        <v>0</v>
      </c>
      <c r="F59" s="15">
        <v>0</v>
      </c>
      <c r="G59" s="15">
        <v>0</v>
      </c>
      <c r="H59" s="16">
        <v>4637.5</v>
      </c>
      <c r="I59" s="16">
        <v>0</v>
      </c>
      <c r="J59" s="7">
        <f t="shared" si="5"/>
        <v>4637.5</v>
      </c>
      <c r="K59" s="8">
        <v>13029.25</v>
      </c>
      <c r="L59" s="53">
        <f t="shared" si="4"/>
        <v>0.35592992689525493</v>
      </c>
    </row>
    <row r="60" spans="1:12" ht="15" customHeight="1" x14ac:dyDescent="0.25">
      <c r="A60" s="5" t="s">
        <v>66</v>
      </c>
      <c r="B60" s="6">
        <v>1008</v>
      </c>
      <c r="C60" s="6">
        <v>1008</v>
      </c>
      <c r="D60" s="6">
        <v>1008</v>
      </c>
      <c r="E60" s="15">
        <v>109.9</v>
      </c>
      <c r="F60" s="15">
        <v>0</v>
      </c>
      <c r="G60" s="15">
        <v>105.02</v>
      </c>
      <c r="H60" s="16">
        <v>3024.41</v>
      </c>
      <c r="I60" s="16">
        <v>214.92</v>
      </c>
      <c r="J60" s="7">
        <f t="shared" si="5"/>
        <v>3239.33</v>
      </c>
      <c r="K60" s="8">
        <v>5362.4</v>
      </c>
      <c r="L60" s="53">
        <f t="shared" si="4"/>
        <v>0.60408212740563927</v>
      </c>
    </row>
    <row r="61" spans="1:12" ht="15" customHeight="1" x14ac:dyDescent="0.25">
      <c r="A61" s="9" t="s">
        <v>67</v>
      </c>
      <c r="B61" s="6">
        <v>6513</v>
      </c>
      <c r="C61" s="6">
        <v>6513</v>
      </c>
      <c r="D61" s="6">
        <v>6513</v>
      </c>
      <c r="E61" s="15">
        <v>6512.88</v>
      </c>
      <c r="F61" s="15">
        <v>6512.88</v>
      </c>
      <c r="G61" s="15">
        <v>6512.88</v>
      </c>
      <c r="H61" s="16">
        <v>19538.64</v>
      </c>
      <c r="I61" s="16">
        <v>19538.64</v>
      </c>
      <c r="J61" s="7">
        <f t="shared" si="5"/>
        <v>39077.279999999999</v>
      </c>
      <c r="K61" s="8">
        <v>78154.53</v>
      </c>
      <c r="L61" s="53">
        <f t="shared" si="4"/>
        <v>0.50000019192745448</v>
      </c>
    </row>
    <row r="62" spans="1:12" ht="15" customHeight="1" x14ac:dyDescent="0.25">
      <c r="A62" s="5" t="s">
        <v>68</v>
      </c>
      <c r="B62" s="6">
        <v>20356</v>
      </c>
      <c r="C62" s="6">
        <v>20356</v>
      </c>
      <c r="D62" s="6">
        <v>20356</v>
      </c>
      <c r="E62" s="15">
        <v>20355.919999999998</v>
      </c>
      <c r="F62" s="15">
        <v>20355.919999999998</v>
      </c>
      <c r="G62" s="15">
        <v>20355.919999999998</v>
      </c>
      <c r="H62" s="16">
        <v>61067.76</v>
      </c>
      <c r="I62" s="16">
        <v>61067.76</v>
      </c>
      <c r="J62" s="7">
        <f t="shared" si="5"/>
        <v>122135.52</v>
      </c>
      <c r="K62" s="8">
        <v>244271</v>
      </c>
      <c r="L62" s="53">
        <f t="shared" si="4"/>
        <v>0.50000008187627676</v>
      </c>
    </row>
    <row r="63" spans="1:12" ht="15" customHeight="1" x14ac:dyDescent="0.25">
      <c r="A63" s="9" t="s">
        <v>69</v>
      </c>
      <c r="B63" s="6">
        <v>4411</v>
      </c>
      <c r="C63" s="6">
        <v>4411</v>
      </c>
      <c r="D63" s="6">
        <v>4411</v>
      </c>
      <c r="E63" s="15">
        <v>4410.83</v>
      </c>
      <c r="F63" s="15">
        <v>4410.83</v>
      </c>
      <c r="G63" s="15">
        <v>4410.83</v>
      </c>
      <c r="H63" s="16">
        <v>13232.49</v>
      </c>
      <c r="I63" s="16">
        <v>13232.49</v>
      </c>
      <c r="J63" s="7">
        <f t="shared" si="5"/>
        <v>26464.98</v>
      </c>
      <c r="K63" s="8">
        <v>52930</v>
      </c>
      <c r="L63" s="53">
        <f t="shared" si="4"/>
        <v>0.4999996221424523</v>
      </c>
    </row>
    <row r="64" spans="1:12" ht="15" customHeight="1" x14ac:dyDescent="0.25">
      <c r="A64" s="5" t="s">
        <v>70</v>
      </c>
      <c r="B64" s="6">
        <v>432</v>
      </c>
      <c r="C64" s="6">
        <v>432</v>
      </c>
      <c r="D64" s="6">
        <v>432</v>
      </c>
      <c r="E64" s="15">
        <v>432.43</v>
      </c>
      <c r="F64" s="15">
        <v>432.43</v>
      </c>
      <c r="G64" s="15">
        <v>432.43</v>
      </c>
      <c r="H64" s="16">
        <v>1297.29</v>
      </c>
      <c r="I64" s="16">
        <v>1297.29</v>
      </c>
      <c r="J64" s="7">
        <f t="shared" si="5"/>
        <v>2594.58</v>
      </c>
      <c r="K64" s="8">
        <v>5189.13</v>
      </c>
      <c r="L64" s="53">
        <f t="shared" si="4"/>
        <v>0.50000289065797154</v>
      </c>
    </row>
    <row r="65" spans="1:12" ht="19.5" customHeight="1" x14ac:dyDescent="0.2">
      <c r="A65" s="10" t="s">
        <v>71</v>
      </c>
      <c r="B65" s="11">
        <f t="shared" ref="B65:K65" si="6">SUM(B24:B64)</f>
        <v>163906.91999999998</v>
      </c>
      <c r="C65" s="11">
        <f t="shared" si="6"/>
        <v>136854.15000000002</v>
      </c>
      <c r="D65" s="11">
        <f t="shared" si="6"/>
        <v>149306.76</v>
      </c>
      <c r="E65" s="11">
        <f t="shared" si="6"/>
        <v>111862.54999999999</v>
      </c>
      <c r="F65" s="11">
        <f t="shared" si="6"/>
        <v>129228.73999999998</v>
      </c>
      <c r="G65" s="11">
        <f t="shared" si="6"/>
        <v>137342.46</v>
      </c>
      <c r="H65" s="11">
        <f t="shared" si="6"/>
        <v>450065.97000000003</v>
      </c>
      <c r="I65" s="11">
        <f t="shared" si="6"/>
        <v>378472.04000000004</v>
      </c>
      <c r="J65" s="11">
        <f t="shared" si="6"/>
        <v>828538.00999999978</v>
      </c>
      <c r="K65" s="11">
        <f t="shared" si="6"/>
        <v>2106502.58</v>
      </c>
      <c r="L65" s="54">
        <f>J65/K65</f>
        <v>0.39332399488444952</v>
      </c>
    </row>
    <row r="66" spans="1:12" ht="18" customHeight="1" thickBot="1" x14ac:dyDescent="0.25">
      <c r="H66" s="41"/>
      <c r="J66" s="37"/>
      <c r="K66" s="57"/>
    </row>
    <row r="67" spans="1:12" s="46" customFormat="1" ht="15.75" thickBot="1" x14ac:dyDescent="0.3">
      <c r="A67" s="59" t="s">
        <v>104</v>
      </c>
      <c r="B67" s="44" t="s">
        <v>72</v>
      </c>
      <c r="C67" s="44" t="s">
        <v>72</v>
      </c>
      <c r="D67" s="44" t="s">
        <v>72</v>
      </c>
      <c r="H67" s="58">
        <f>H19-H65</f>
        <v>-68982.310000000056</v>
      </c>
      <c r="I67" s="48">
        <f>I19-I65</f>
        <v>-38609.680000000051</v>
      </c>
      <c r="J67" s="48">
        <f>J19-J65</f>
        <v>-107591.98999999987</v>
      </c>
    </row>
    <row r="69" spans="1:12" ht="15" customHeight="1" x14ac:dyDescent="0.2">
      <c r="A69" s="78" t="s">
        <v>73</v>
      </c>
      <c r="B69" s="79"/>
      <c r="C69" s="79"/>
      <c r="D69" s="79"/>
      <c r="E69" s="79"/>
      <c r="F69" s="79"/>
      <c r="G69" s="79"/>
      <c r="H69" s="79"/>
      <c r="I69" s="80"/>
    </row>
    <row r="70" spans="1:12" ht="15" customHeight="1" x14ac:dyDescent="0.2">
      <c r="A70" s="81" t="s">
        <v>74</v>
      </c>
      <c r="B70" s="82"/>
      <c r="C70" s="82"/>
      <c r="D70" s="82"/>
      <c r="E70" s="82"/>
      <c r="F70" s="82"/>
      <c r="G70" s="82"/>
      <c r="H70" s="82"/>
      <c r="I70" s="83"/>
      <c r="K70" s="57"/>
    </row>
    <row r="71" spans="1:12" ht="26.25" x14ac:dyDescent="0.2">
      <c r="A71" s="84">
        <v>459244.6</v>
      </c>
      <c r="B71" s="85"/>
      <c r="C71" s="85"/>
      <c r="D71" s="85"/>
      <c r="E71" s="85"/>
      <c r="F71" s="85"/>
      <c r="G71" s="85"/>
      <c r="H71" s="85"/>
      <c r="I71" s="86"/>
    </row>
  </sheetData>
  <mergeCells count="10">
    <mergeCell ref="A70:I70"/>
    <mergeCell ref="A71:I71"/>
    <mergeCell ref="A23:K23"/>
    <mergeCell ref="H21:I21"/>
    <mergeCell ref="B21:G21"/>
    <mergeCell ref="H2:I2"/>
    <mergeCell ref="A1:K1"/>
    <mergeCell ref="B2:G2"/>
    <mergeCell ref="A4:K4"/>
    <mergeCell ref="A69:I69"/>
  </mergeCells>
  <pageMargins left="0.5" right="0.25" top="0.75" bottom="0.75" header="0.3" footer="0.3"/>
  <pageSetup paperSize="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027D3-48E4-3141-95B5-711155B77365}">
  <dimension ref="A1:F16"/>
  <sheetViews>
    <sheetView showGridLines="0" workbookViewId="0">
      <selection activeCell="B38" sqref="B38"/>
    </sheetView>
  </sheetViews>
  <sheetFormatPr defaultColWidth="11" defaultRowHeight="15" x14ac:dyDescent="0.25"/>
  <cols>
    <col min="1" max="1" width="36.42578125" style="26" customWidth="1"/>
    <col min="2" max="2" width="21.42578125" customWidth="1"/>
    <col min="3" max="3" width="18.85546875" customWidth="1"/>
    <col min="4" max="5" width="19.42578125" customWidth="1"/>
    <col min="6" max="6" width="23.7109375" customWidth="1"/>
  </cols>
  <sheetData>
    <row r="1" spans="1:6" ht="24.95" customHeight="1" x14ac:dyDescent="0.25">
      <c r="A1" s="69" t="s">
        <v>75</v>
      </c>
      <c r="B1" s="69"/>
      <c r="C1" s="69"/>
      <c r="D1" s="69"/>
      <c r="E1" s="69"/>
      <c r="F1" s="69"/>
    </row>
    <row r="2" spans="1:6" ht="26.25" x14ac:dyDescent="0.4">
      <c r="A2" s="25"/>
      <c r="B2" s="70" t="s">
        <v>2</v>
      </c>
      <c r="C2" s="70"/>
      <c r="D2" s="2"/>
      <c r="E2" s="2"/>
      <c r="F2" s="2"/>
    </row>
    <row r="3" spans="1:6" x14ac:dyDescent="0.25">
      <c r="A3" s="3" t="s">
        <v>3</v>
      </c>
      <c r="B3" s="4" t="s">
        <v>10</v>
      </c>
      <c r="C3" s="4" t="s">
        <v>11</v>
      </c>
      <c r="D3" s="27" t="s">
        <v>12</v>
      </c>
      <c r="E3" s="27" t="s">
        <v>13</v>
      </c>
      <c r="F3" s="28" t="s">
        <v>76</v>
      </c>
    </row>
    <row r="4" spans="1:6" ht="21" customHeight="1" x14ac:dyDescent="0.25">
      <c r="A4" s="71" t="s">
        <v>14</v>
      </c>
      <c r="B4" s="71"/>
      <c r="C4" s="71"/>
      <c r="D4" s="71"/>
      <c r="E4" s="71"/>
      <c r="F4" s="71"/>
    </row>
    <row r="5" spans="1:6" s="20" customFormat="1" ht="24" customHeight="1" x14ac:dyDescent="0.25">
      <c r="A5" s="19" t="s">
        <v>25</v>
      </c>
      <c r="B5" s="38">
        <f>251.69+146.95+147.49</f>
        <v>546.13</v>
      </c>
      <c r="C5" s="23">
        <f>0</f>
        <v>0</v>
      </c>
      <c r="D5" s="29">
        <f>B5+C5</f>
        <v>546.13</v>
      </c>
      <c r="E5" s="29">
        <v>117449.32</v>
      </c>
      <c r="F5" s="29">
        <f>E5-D5</f>
        <v>116903.19</v>
      </c>
    </row>
    <row r="6" spans="1:6" s="1" customFormat="1" ht="20.100000000000001" customHeight="1" x14ac:dyDescent="0.2">
      <c r="A6" s="3" t="s">
        <v>29</v>
      </c>
      <c r="B6" s="11">
        <f>SUM(B5)</f>
        <v>546.13</v>
      </c>
      <c r="C6" s="11">
        <f t="shared" ref="C6:F6" si="0">SUM(C5)</f>
        <v>0</v>
      </c>
      <c r="D6" s="11">
        <f t="shared" si="0"/>
        <v>546.13</v>
      </c>
      <c r="E6" s="11">
        <f t="shared" si="0"/>
        <v>117449.32</v>
      </c>
      <c r="F6" s="11">
        <f t="shared" si="0"/>
        <v>116903.19</v>
      </c>
    </row>
    <row r="7" spans="1:6" s="1" customFormat="1" ht="19.5" customHeight="1" x14ac:dyDescent="0.2">
      <c r="A7" s="32"/>
      <c r="B7" s="33"/>
      <c r="C7" s="33"/>
      <c r="D7" s="33"/>
      <c r="E7" s="33"/>
      <c r="F7" s="33"/>
    </row>
    <row r="8" spans="1:6" s="14" customFormat="1" ht="21.75" customHeight="1" x14ac:dyDescent="0.4">
      <c r="A8" s="25"/>
      <c r="B8" s="72" t="s">
        <v>2</v>
      </c>
      <c r="C8" s="72"/>
      <c r="D8" s="2"/>
      <c r="E8" s="2"/>
      <c r="F8" s="2"/>
    </row>
    <row r="9" spans="1:6" s="1" customFormat="1" ht="21.75" customHeight="1" x14ac:dyDescent="0.2">
      <c r="A9" s="3" t="s">
        <v>3</v>
      </c>
      <c r="B9" s="4" t="s">
        <v>10</v>
      </c>
      <c r="C9" s="4" t="s">
        <v>11</v>
      </c>
      <c r="D9" s="27" t="s">
        <v>12</v>
      </c>
      <c r="E9" s="27" t="s">
        <v>13</v>
      </c>
      <c r="F9" s="28" t="s">
        <v>76</v>
      </c>
    </row>
    <row r="10" spans="1:6" s="1" customFormat="1" ht="24" customHeight="1" x14ac:dyDescent="0.2">
      <c r="A10" s="73" t="s">
        <v>30</v>
      </c>
      <c r="B10" s="73"/>
      <c r="C10" s="73"/>
      <c r="D10" s="73"/>
      <c r="E10" s="73"/>
      <c r="F10" s="73"/>
    </row>
    <row r="11" spans="1:6" s="1" customFormat="1" ht="21.75" customHeight="1" x14ac:dyDescent="0.25">
      <c r="A11" s="18" t="s">
        <v>77</v>
      </c>
      <c r="B11" s="38">
        <v>116000</v>
      </c>
      <c r="C11" s="30">
        <v>0</v>
      </c>
      <c r="D11" s="29">
        <f>B11+C11</f>
        <v>116000</v>
      </c>
      <c r="E11" s="29">
        <v>382819.63</v>
      </c>
      <c r="F11" s="29">
        <f>E11-D11</f>
        <v>266819.63</v>
      </c>
    </row>
    <row r="12" spans="1:6" s="1" customFormat="1" ht="15" customHeight="1" x14ac:dyDescent="0.25">
      <c r="A12" s="22" t="s">
        <v>78</v>
      </c>
      <c r="B12" s="30">
        <v>0</v>
      </c>
      <c r="C12" s="30">
        <v>0</v>
      </c>
      <c r="D12" s="31">
        <v>0</v>
      </c>
      <c r="E12" s="31">
        <v>0</v>
      </c>
      <c r="F12" s="31">
        <v>0</v>
      </c>
    </row>
    <row r="13" spans="1:6" s="1" customFormat="1" ht="19.5" customHeight="1" x14ac:dyDescent="0.2">
      <c r="A13" s="10" t="s">
        <v>71</v>
      </c>
      <c r="B13" s="11">
        <f>SUM(B11:B12)</f>
        <v>116000</v>
      </c>
      <c r="C13" s="11">
        <f t="shared" ref="C13:F13" si="1">SUM(C11:C12)</f>
        <v>0</v>
      </c>
      <c r="D13" s="11">
        <f t="shared" si="1"/>
        <v>116000</v>
      </c>
      <c r="E13" s="11">
        <f t="shared" si="1"/>
        <v>382819.63</v>
      </c>
      <c r="F13" s="11">
        <f t="shared" si="1"/>
        <v>266819.63</v>
      </c>
    </row>
    <row r="16" spans="1:6" x14ac:dyDescent="0.25">
      <c r="D16" s="34" t="s">
        <v>79</v>
      </c>
      <c r="E16" s="35">
        <f>E6-E13</f>
        <v>-265370.31</v>
      </c>
    </row>
  </sheetData>
  <mergeCells count="5">
    <mergeCell ref="A10:F10"/>
    <mergeCell ref="A1:F1"/>
    <mergeCell ref="B2:C2"/>
    <mergeCell ref="A4:F4"/>
    <mergeCell ref="B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D9B98-52A3-B642-8226-CE4B62EB48FE}">
  <sheetPr>
    <pageSetUpPr fitToPage="1"/>
  </sheetPr>
  <dimension ref="A1:H38"/>
  <sheetViews>
    <sheetView showGridLines="0" tabSelected="1" topLeftCell="A13" workbookViewId="0">
      <selection activeCell="E36" sqref="E36"/>
    </sheetView>
  </sheetViews>
  <sheetFormatPr defaultColWidth="11" defaultRowHeight="15" x14ac:dyDescent="0.25"/>
  <cols>
    <col min="1" max="1" width="35.42578125" style="26" customWidth="1"/>
    <col min="2" max="2" width="21.42578125" customWidth="1"/>
    <col min="3" max="3" width="18.85546875" customWidth="1"/>
    <col min="4" max="5" width="19.42578125" customWidth="1"/>
    <col min="6" max="6" width="23.7109375" customWidth="1"/>
  </cols>
  <sheetData>
    <row r="1" spans="1:8" ht="24.95" customHeight="1" x14ac:dyDescent="0.25">
      <c r="A1" s="69" t="s">
        <v>80</v>
      </c>
      <c r="B1" s="69"/>
      <c r="C1" s="69"/>
      <c r="D1" s="69"/>
      <c r="E1" s="69"/>
      <c r="F1" s="69"/>
    </row>
    <row r="2" spans="1:8" ht="26.25" x14ac:dyDescent="0.4">
      <c r="A2" s="25"/>
      <c r="B2" s="70" t="s">
        <v>2</v>
      </c>
      <c r="C2" s="70"/>
      <c r="D2" s="2"/>
      <c r="E2" s="2"/>
      <c r="F2" s="2"/>
    </row>
    <row r="3" spans="1:8" x14ac:dyDescent="0.25">
      <c r="A3" s="3" t="s">
        <v>3</v>
      </c>
      <c r="B3" s="4" t="s">
        <v>10</v>
      </c>
      <c r="C3" s="4" t="s">
        <v>11</v>
      </c>
      <c r="D3" s="52" t="s">
        <v>100</v>
      </c>
      <c r="E3" s="28" t="s">
        <v>102</v>
      </c>
      <c r="F3" s="56" t="s">
        <v>101</v>
      </c>
    </row>
    <row r="4" spans="1:8" ht="21" customHeight="1" x14ac:dyDescent="0.25">
      <c r="A4" s="71" t="s">
        <v>14</v>
      </c>
      <c r="B4" s="71"/>
      <c r="C4" s="71"/>
      <c r="D4" s="71"/>
      <c r="E4" s="71"/>
      <c r="F4" s="71"/>
    </row>
    <row r="5" spans="1:8" ht="21" customHeight="1" x14ac:dyDescent="0.25">
      <c r="A5" s="19" t="s">
        <v>17</v>
      </c>
      <c r="B5" s="38">
        <f>3060.13*3</f>
        <v>9180.39</v>
      </c>
      <c r="C5" s="38">
        <f>B5</f>
        <v>9180.39</v>
      </c>
      <c r="D5" s="29">
        <f>B5+C5</f>
        <v>18360.78</v>
      </c>
      <c r="E5" s="29">
        <v>45212</v>
      </c>
      <c r="F5" s="61">
        <f>D5/E5</f>
        <v>0.40610413164646553</v>
      </c>
    </row>
    <row r="6" spans="1:8" ht="21" customHeight="1" x14ac:dyDescent="0.25">
      <c r="A6" s="19" t="s">
        <v>81</v>
      </c>
      <c r="B6" s="38">
        <f>595*3</f>
        <v>1785</v>
      </c>
      <c r="C6" s="38">
        <f>B6</f>
        <v>1785</v>
      </c>
      <c r="D6" s="29">
        <f>B6+C6</f>
        <v>3570</v>
      </c>
      <c r="E6" s="29">
        <v>7140</v>
      </c>
      <c r="F6" s="61">
        <f t="shared" ref="F6:F9" si="0">D6/E6</f>
        <v>0.5</v>
      </c>
    </row>
    <row r="7" spans="1:8" s="20" customFormat="1" ht="24" customHeight="1" x14ac:dyDescent="0.25">
      <c r="A7" s="19" t="s">
        <v>82</v>
      </c>
      <c r="B7" s="38">
        <f>11115.96+9737.31+7908.35</f>
        <v>28761.619999999995</v>
      </c>
      <c r="C7" s="38">
        <f>7908.35+6993.23+6266.45</f>
        <v>21168.03</v>
      </c>
      <c r="D7" s="29">
        <f>B7+C7</f>
        <v>49929.649999999994</v>
      </c>
      <c r="E7" s="29">
        <v>117180</v>
      </c>
      <c r="F7" s="61">
        <f t="shared" si="0"/>
        <v>0.42609361665813272</v>
      </c>
    </row>
    <row r="8" spans="1:8" s="20" customFormat="1" ht="24" customHeight="1" x14ac:dyDescent="0.25">
      <c r="A8" s="19" t="s">
        <v>83</v>
      </c>
      <c r="B8" s="38">
        <f>2730.53+2073.46+2285.86</f>
        <v>7089.85</v>
      </c>
      <c r="C8" s="38">
        <f>1188.07+4845.39</f>
        <v>6033.46</v>
      </c>
      <c r="D8" s="29">
        <f>B8+C8</f>
        <v>13123.310000000001</v>
      </c>
      <c r="E8" s="29">
        <v>16000</v>
      </c>
      <c r="F8" s="61">
        <f t="shared" si="0"/>
        <v>0.82020687500000011</v>
      </c>
      <c r="H8" s="47"/>
    </row>
    <row r="9" spans="1:8" s="20" customFormat="1" ht="24" customHeight="1" x14ac:dyDescent="0.25">
      <c r="A9" s="19" t="s">
        <v>25</v>
      </c>
      <c r="B9" s="38">
        <f>681.78+440.1+441.69</f>
        <v>1563.5700000000002</v>
      </c>
      <c r="C9" s="38">
        <f>917.96+586.14+578.87</f>
        <v>2082.9699999999998</v>
      </c>
      <c r="D9" s="29">
        <f>B9+C9</f>
        <v>3646.54</v>
      </c>
      <c r="E9" s="29">
        <v>3036.26</v>
      </c>
      <c r="F9" s="61">
        <f t="shared" si="0"/>
        <v>1.2009972795478647</v>
      </c>
    </row>
    <row r="10" spans="1:8" s="1" customFormat="1" ht="20.100000000000001" customHeight="1" x14ac:dyDescent="0.2">
      <c r="A10" s="3" t="s">
        <v>29</v>
      </c>
      <c r="B10" s="11">
        <f>SUM(B5:B9)</f>
        <v>48380.429999999993</v>
      </c>
      <c r="C10" s="11">
        <f>SUM(C5:C9)</f>
        <v>40249.85</v>
      </c>
      <c r="D10" s="11">
        <f t="shared" ref="D10" si="1">SUM(D5:D7)</f>
        <v>71860.429999999993</v>
      </c>
      <c r="E10" s="11">
        <f>SUM(E5:E9)</f>
        <v>188568.26</v>
      </c>
      <c r="F10" s="54">
        <f>D10/E10</f>
        <v>0.3810844412522022</v>
      </c>
      <c r="H10" s="41"/>
    </row>
    <row r="11" spans="1:8" s="1" customFormat="1" ht="19.5" customHeight="1" x14ac:dyDescent="0.2">
      <c r="A11" s="32"/>
      <c r="B11" s="33"/>
      <c r="C11" s="33">
        <f>C10+B10</f>
        <v>88630.28</v>
      </c>
      <c r="D11" s="33"/>
      <c r="E11" s="33"/>
      <c r="F11" s="33"/>
    </row>
    <row r="12" spans="1:8" s="14" customFormat="1" ht="26.1" customHeight="1" x14ac:dyDescent="0.4">
      <c r="A12" s="25"/>
      <c r="B12" s="72" t="s">
        <v>2</v>
      </c>
      <c r="C12" s="72"/>
      <c r="D12" s="2"/>
      <c r="E12" s="2"/>
      <c r="F12" s="2"/>
    </row>
    <row r="13" spans="1:8" s="1" customFormat="1" ht="21.75" customHeight="1" x14ac:dyDescent="0.2">
      <c r="A13" s="3" t="s">
        <v>3</v>
      </c>
      <c r="B13" s="4" t="s">
        <v>10</v>
      </c>
      <c r="C13" s="4" t="s">
        <v>11</v>
      </c>
      <c r="D13" s="52" t="s">
        <v>100</v>
      </c>
      <c r="E13" s="28" t="s">
        <v>102</v>
      </c>
      <c r="F13" s="56" t="s">
        <v>101</v>
      </c>
    </row>
    <row r="14" spans="1:8" s="1" customFormat="1" ht="24" customHeight="1" x14ac:dyDescent="0.2">
      <c r="A14" s="73" t="s">
        <v>30</v>
      </c>
      <c r="B14" s="73"/>
      <c r="C14" s="73"/>
      <c r="D14" s="73"/>
      <c r="E14" s="73"/>
      <c r="F14" s="73"/>
    </row>
    <row r="15" spans="1:8" s="1" customFormat="1" ht="24" customHeight="1" x14ac:dyDescent="0.25">
      <c r="A15" s="18" t="s">
        <v>46</v>
      </c>
      <c r="B15" s="24">
        <v>0</v>
      </c>
      <c r="C15" s="24">
        <v>0</v>
      </c>
      <c r="D15" s="21">
        <f>B15+C15</f>
        <v>0</v>
      </c>
      <c r="E15" s="21">
        <v>2550</v>
      </c>
      <c r="F15" s="62">
        <v>0</v>
      </c>
    </row>
    <row r="16" spans="1:8" s="1" customFormat="1" ht="24" customHeight="1" x14ac:dyDescent="0.25">
      <c r="A16" s="36" t="s">
        <v>84</v>
      </c>
      <c r="B16" s="24">
        <v>0</v>
      </c>
      <c r="C16" s="24">
        <v>0</v>
      </c>
      <c r="D16" s="21">
        <f t="shared" ref="D16:D30" si="2">B16+C16</f>
        <v>0</v>
      </c>
      <c r="E16" s="21">
        <v>500</v>
      </c>
      <c r="F16" s="62">
        <v>0</v>
      </c>
    </row>
    <row r="17" spans="1:6" s="1" customFormat="1" ht="24" customHeight="1" x14ac:dyDescent="0.25">
      <c r="A17" s="18" t="s">
        <v>50</v>
      </c>
      <c r="B17" s="24">
        <v>0</v>
      </c>
      <c r="C17" s="24">
        <v>0</v>
      </c>
      <c r="D17" s="21">
        <f t="shared" si="2"/>
        <v>0</v>
      </c>
      <c r="E17" s="21">
        <v>815</v>
      </c>
      <c r="F17" s="62">
        <v>0</v>
      </c>
    </row>
    <row r="18" spans="1:6" s="1" customFormat="1" ht="24" customHeight="1" x14ac:dyDescent="0.25">
      <c r="A18" s="36" t="s">
        <v>53</v>
      </c>
      <c r="B18" s="24">
        <v>0</v>
      </c>
      <c r="C18" s="24">
        <v>333.27</v>
      </c>
      <c r="D18" s="21">
        <f t="shared" si="2"/>
        <v>333.27</v>
      </c>
      <c r="E18" s="21">
        <v>500</v>
      </c>
      <c r="F18" s="62">
        <f>D18/E18</f>
        <v>0.66653999999999991</v>
      </c>
    </row>
    <row r="19" spans="1:6" s="1" customFormat="1" ht="24" customHeight="1" x14ac:dyDescent="0.25">
      <c r="A19" s="18" t="s">
        <v>57</v>
      </c>
      <c r="B19" s="24">
        <v>0</v>
      </c>
      <c r="C19" s="24">
        <v>19174.310000000001</v>
      </c>
      <c r="D19" s="21">
        <f t="shared" si="2"/>
        <v>19174.310000000001</v>
      </c>
      <c r="E19" s="21">
        <v>54000</v>
      </c>
      <c r="F19" s="62">
        <f t="shared" ref="F19:F30" si="3">D19/E19</f>
        <v>0.35507981481481482</v>
      </c>
    </row>
    <row r="20" spans="1:6" s="1" customFormat="1" ht="24" customHeight="1" x14ac:dyDescent="0.25">
      <c r="A20" s="36" t="s">
        <v>58</v>
      </c>
      <c r="B20" s="24">
        <f>7074.91+5119.95+2936.82</f>
        <v>15131.68</v>
      </c>
      <c r="C20" s="24">
        <f>1625.72+778.51+442.2</f>
        <v>2846.43</v>
      </c>
      <c r="D20" s="21">
        <f t="shared" si="2"/>
        <v>17978.11</v>
      </c>
      <c r="E20" s="21">
        <v>19550</v>
      </c>
      <c r="F20" s="62">
        <f t="shared" si="3"/>
        <v>0.91959641943734016</v>
      </c>
    </row>
    <row r="21" spans="1:6" s="1" customFormat="1" ht="24" customHeight="1" x14ac:dyDescent="0.25">
      <c r="A21" s="18" t="s">
        <v>59</v>
      </c>
      <c r="B21" s="24">
        <f>1588.06+1607.13+1686.91</f>
        <v>4882.1000000000004</v>
      </c>
      <c r="C21" s="24">
        <f>1686.91+2045.04+2101.31</f>
        <v>5833.26</v>
      </c>
      <c r="D21" s="21">
        <f t="shared" si="2"/>
        <v>10715.36</v>
      </c>
      <c r="E21" s="21">
        <v>14000</v>
      </c>
      <c r="F21" s="62">
        <f t="shared" si="3"/>
        <v>0.76538285714285714</v>
      </c>
    </row>
    <row r="22" spans="1:6" s="1" customFormat="1" ht="24" customHeight="1" x14ac:dyDescent="0.25">
      <c r="A22" s="36" t="s">
        <v>60</v>
      </c>
      <c r="B22" s="24">
        <v>0</v>
      </c>
      <c r="C22" s="24">
        <v>478.5</v>
      </c>
      <c r="D22" s="21">
        <f t="shared" si="2"/>
        <v>478.5</v>
      </c>
      <c r="E22" s="21">
        <v>56679.6</v>
      </c>
      <c r="F22" s="62">
        <f t="shared" si="3"/>
        <v>8.4421908411491959E-3</v>
      </c>
    </row>
    <row r="23" spans="1:6" s="1" customFormat="1" ht="24" customHeight="1" x14ac:dyDescent="0.25">
      <c r="A23" s="1" t="s">
        <v>85</v>
      </c>
      <c r="B23" s="24">
        <v>0</v>
      </c>
      <c r="C23" s="24">
        <v>0</v>
      </c>
      <c r="D23" s="21">
        <f t="shared" si="2"/>
        <v>0</v>
      </c>
      <c r="E23" s="21">
        <v>11105.01</v>
      </c>
      <c r="F23" s="62">
        <f t="shared" si="3"/>
        <v>0</v>
      </c>
    </row>
    <row r="24" spans="1:6" s="1" customFormat="1" ht="24" customHeight="1" x14ac:dyDescent="0.25">
      <c r="A24" s="1" t="s">
        <v>86</v>
      </c>
      <c r="B24" s="24">
        <v>0</v>
      </c>
      <c r="C24" s="24">
        <v>0</v>
      </c>
      <c r="D24" s="21">
        <f t="shared" si="2"/>
        <v>0</v>
      </c>
      <c r="E24" s="21">
        <v>2096</v>
      </c>
      <c r="F24" s="62">
        <f t="shared" si="3"/>
        <v>0</v>
      </c>
    </row>
    <row r="25" spans="1:6" s="1" customFormat="1" ht="24" customHeight="1" x14ac:dyDescent="0.25">
      <c r="A25" s="1" t="s">
        <v>62</v>
      </c>
      <c r="B25" s="24">
        <v>0</v>
      </c>
      <c r="C25" s="24">
        <v>0</v>
      </c>
      <c r="D25" s="21">
        <f t="shared" si="2"/>
        <v>0</v>
      </c>
      <c r="E25" s="21">
        <v>450</v>
      </c>
      <c r="F25" s="62">
        <f t="shared" si="3"/>
        <v>0</v>
      </c>
    </row>
    <row r="26" spans="1:6" s="1" customFormat="1" ht="24" customHeight="1" x14ac:dyDescent="0.25">
      <c r="A26" s="1" t="s">
        <v>87</v>
      </c>
      <c r="B26" s="24">
        <v>1366.96</v>
      </c>
      <c r="C26" s="24">
        <f>1318.78+1260.21</f>
        <v>2578.9899999999998</v>
      </c>
      <c r="D26" s="21">
        <f t="shared" si="2"/>
        <v>3945.95</v>
      </c>
      <c r="E26" s="21">
        <v>16348.7</v>
      </c>
      <c r="F26" s="62">
        <f t="shared" si="3"/>
        <v>0.24136169848367145</v>
      </c>
    </row>
    <row r="27" spans="1:6" s="1" customFormat="1" ht="24" customHeight="1" x14ac:dyDescent="0.25">
      <c r="A27" s="1" t="s">
        <v>88</v>
      </c>
      <c r="B27" s="24">
        <f>829.19*3</f>
        <v>2487.5700000000002</v>
      </c>
      <c r="C27" s="24">
        <f>B27</f>
        <v>2487.5700000000002</v>
      </c>
      <c r="D27" s="21">
        <f t="shared" si="2"/>
        <v>4975.1400000000003</v>
      </c>
      <c r="E27" s="21">
        <v>9950.32</v>
      </c>
      <c r="F27" s="62">
        <f t="shared" si="3"/>
        <v>0.49999799001439155</v>
      </c>
    </row>
    <row r="28" spans="1:6" s="1" customFormat="1" ht="24" customHeight="1" x14ac:dyDescent="0.25">
      <c r="A28" s="1" t="s">
        <v>89</v>
      </c>
      <c r="B28" s="24">
        <f>777.83*3</f>
        <v>2333.4900000000002</v>
      </c>
      <c r="C28" s="24">
        <f>B28</f>
        <v>2333.4900000000002</v>
      </c>
      <c r="D28" s="21">
        <f t="shared" si="2"/>
        <v>4666.9800000000005</v>
      </c>
      <c r="E28" s="21">
        <v>9334</v>
      </c>
      <c r="F28" s="62">
        <f t="shared" si="3"/>
        <v>0.49999785729590751</v>
      </c>
    </row>
    <row r="29" spans="1:6" s="1" customFormat="1" ht="21.75" customHeight="1" x14ac:dyDescent="0.25">
      <c r="A29" s="1" t="s">
        <v>90</v>
      </c>
      <c r="B29" s="24">
        <f>1291.25*3</f>
        <v>3873.75</v>
      </c>
      <c r="C29" s="24">
        <f>B29</f>
        <v>3873.75</v>
      </c>
      <c r="D29" s="21">
        <f t="shared" si="2"/>
        <v>7747.5</v>
      </c>
      <c r="E29" s="21">
        <v>15495</v>
      </c>
      <c r="F29" s="62">
        <f t="shared" si="3"/>
        <v>0.5</v>
      </c>
    </row>
    <row r="30" spans="1:6" s="1" customFormat="1" ht="21.95" customHeight="1" x14ac:dyDescent="0.25">
      <c r="A30" s="1" t="s">
        <v>91</v>
      </c>
      <c r="B30" s="24">
        <f>191.75*3</f>
        <v>575.25</v>
      </c>
      <c r="C30" s="24">
        <f>B30</f>
        <v>575.25</v>
      </c>
      <c r="D30" s="21">
        <f t="shared" si="2"/>
        <v>1150.5</v>
      </c>
      <c r="E30" s="21">
        <v>2301.0100000000002</v>
      </c>
      <c r="F30" s="62">
        <f t="shared" si="3"/>
        <v>0.49999782704116885</v>
      </c>
    </row>
    <row r="31" spans="1:6" s="1" customFormat="1" ht="19.5" customHeight="1" x14ac:dyDescent="0.2">
      <c r="A31" s="10" t="s">
        <v>71</v>
      </c>
      <c r="B31" s="11">
        <f>SUM(B15:B30)</f>
        <v>30650.799999999999</v>
      </c>
      <c r="C31" s="11">
        <f>SUM(C15:C30)</f>
        <v>40514.82</v>
      </c>
      <c r="D31" s="11">
        <f t="shared" ref="D31:E31" si="4">SUM(D15:D30)</f>
        <v>71165.62</v>
      </c>
      <c r="E31" s="11">
        <f t="shared" si="4"/>
        <v>215674.64000000004</v>
      </c>
      <c r="F31" s="54">
        <f>D31/E31</f>
        <v>0.32996749177371981</v>
      </c>
    </row>
    <row r="32" spans="1:6" ht="15.75" thickBot="1" x14ac:dyDescent="0.3">
      <c r="C32" s="42"/>
    </row>
    <row r="33" spans="1:5" ht="15.75" thickBot="1" x14ac:dyDescent="0.3">
      <c r="A33" s="44" t="s">
        <v>92</v>
      </c>
      <c r="B33" s="45">
        <f>B10-B31</f>
        <v>17729.629999999994</v>
      </c>
      <c r="C33" s="48">
        <f>C10-C31</f>
        <v>-264.97000000000116</v>
      </c>
      <c r="D33" s="60">
        <f>B33+C33</f>
        <v>17464.659999999993</v>
      </c>
    </row>
    <row r="36" spans="1:5" x14ac:dyDescent="0.25">
      <c r="A36" s="63" t="s">
        <v>73</v>
      </c>
      <c r="B36" s="64"/>
      <c r="D36" s="34"/>
      <c r="E36" s="35"/>
    </row>
    <row r="37" spans="1:5" x14ac:dyDescent="0.25">
      <c r="A37" s="65" t="s">
        <v>93</v>
      </c>
      <c r="B37" s="66"/>
    </row>
    <row r="38" spans="1:5" ht="26.1" customHeight="1" x14ac:dyDescent="0.25">
      <c r="A38" s="67">
        <v>58945</v>
      </c>
      <c r="B38" s="68"/>
    </row>
  </sheetData>
  <mergeCells count="8">
    <mergeCell ref="A36:B36"/>
    <mergeCell ref="A37:B37"/>
    <mergeCell ref="A38:B38"/>
    <mergeCell ref="A1:F1"/>
    <mergeCell ref="B2:C2"/>
    <mergeCell ref="A4:F4"/>
    <mergeCell ref="B12:C12"/>
    <mergeCell ref="A14:F1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7E9D-4D47-FB4F-8B58-8553D2C57AE6}">
  <sheetPr>
    <pageSetUpPr fitToPage="1"/>
  </sheetPr>
  <dimension ref="A1:H21"/>
  <sheetViews>
    <sheetView showGridLines="0" workbookViewId="0">
      <selection activeCell="D25" sqref="D25"/>
    </sheetView>
  </sheetViews>
  <sheetFormatPr defaultColWidth="11" defaultRowHeight="15" x14ac:dyDescent="0.25"/>
  <cols>
    <col min="1" max="1" width="38.85546875" style="26" bestFit="1" customWidth="1"/>
    <col min="2" max="2" width="21.42578125" customWidth="1"/>
    <col min="3" max="3" width="18.85546875" customWidth="1"/>
    <col min="4" max="5" width="19.42578125" customWidth="1"/>
    <col min="6" max="6" width="23.7109375" customWidth="1"/>
    <col min="8" max="8" width="55.7109375" customWidth="1"/>
  </cols>
  <sheetData>
    <row r="1" spans="1:8" ht="24.95" customHeight="1" x14ac:dyDescent="0.25">
      <c r="A1" s="69" t="s">
        <v>94</v>
      </c>
      <c r="B1" s="69"/>
      <c r="C1" s="69"/>
      <c r="D1" s="69"/>
      <c r="E1" s="69"/>
      <c r="F1" s="69"/>
    </row>
    <row r="2" spans="1:8" ht="26.25" x14ac:dyDescent="0.4">
      <c r="A2" s="25"/>
      <c r="B2" s="70" t="s">
        <v>2</v>
      </c>
      <c r="C2" s="70"/>
      <c r="D2" s="2"/>
      <c r="E2" s="2"/>
      <c r="F2" s="2"/>
    </row>
    <row r="3" spans="1:8" x14ac:dyDescent="0.25">
      <c r="A3" s="3" t="s">
        <v>3</v>
      </c>
      <c r="B3" s="4" t="s">
        <v>10</v>
      </c>
      <c r="C3" s="4" t="s">
        <v>11</v>
      </c>
      <c r="D3" s="27" t="s">
        <v>12</v>
      </c>
      <c r="E3" s="27" t="s">
        <v>13</v>
      </c>
      <c r="F3" s="28" t="s">
        <v>76</v>
      </c>
    </row>
    <row r="4" spans="1:8" ht="21" customHeight="1" x14ac:dyDescent="0.25">
      <c r="A4" s="71" t="s">
        <v>14</v>
      </c>
      <c r="B4" s="71"/>
      <c r="C4" s="71"/>
      <c r="D4" s="71"/>
      <c r="E4" s="71"/>
      <c r="F4" s="71"/>
    </row>
    <row r="5" spans="1:8" ht="21" customHeight="1" x14ac:dyDescent="0.25">
      <c r="A5" s="19" t="s">
        <v>95</v>
      </c>
      <c r="B5" s="38">
        <v>400000</v>
      </c>
      <c r="C5" s="38">
        <v>0</v>
      </c>
      <c r="D5" s="29">
        <f>B5+C5</f>
        <v>400000</v>
      </c>
      <c r="E5" s="29">
        <v>800000</v>
      </c>
      <c r="F5" s="29">
        <f>D5-E5</f>
        <v>-400000</v>
      </c>
    </row>
    <row r="6" spans="1:8" ht="21" customHeight="1" x14ac:dyDescent="0.25">
      <c r="A6" s="19" t="s">
        <v>25</v>
      </c>
      <c r="B6" s="38">
        <f>5986.28+4400.69+4416.68</f>
        <v>14803.65</v>
      </c>
      <c r="C6" s="38">
        <f>9082.63+5184.39+5001.58</f>
        <v>19268.599999999999</v>
      </c>
      <c r="D6" s="29">
        <f>B6+C6</f>
        <v>34072.25</v>
      </c>
      <c r="E6" s="29">
        <v>20467</v>
      </c>
      <c r="F6" s="29">
        <f t="shared" ref="F6" si="0">D6-E6</f>
        <v>13605.25</v>
      </c>
    </row>
    <row r="7" spans="1:8" s="1" customFormat="1" ht="20.100000000000001" customHeight="1" x14ac:dyDescent="0.2">
      <c r="A7" s="3" t="s">
        <v>29</v>
      </c>
      <c r="B7" s="11">
        <f>SUM(B5:B6)</f>
        <v>414803.65</v>
      </c>
      <c r="C7" s="11">
        <f>SUM(C5:C6)</f>
        <v>19268.599999999999</v>
      </c>
      <c r="D7" s="11">
        <f>SUM(D5:D6)</f>
        <v>434072.25</v>
      </c>
      <c r="E7" s="11">
        <f>SUM(E5:E6)</f>
        <v>820467</v>
      </c>
      <c r="F7" s="11">
        <f>SUM(F5:F6)</f>
        <v>-386394.75</v>
      </c>
    </row>
    <row r="8" spans="1:8" s="1" customFormat="1" ht="19.5" customHeight="1" x14ac:dyDescent="0.2">
      <c r="A8" s="32"/>
      <c r="B8" s="33"/>
      <c r="C8" s="33"/>
      <c r="D8" s="33"/>
      <c r="E8" s="33"/>
      <c r="F8" s="33"/>
    </row>
    <row r="9" spans="1:8" s="14" customFormat="1" ht="26.1" customHeight="1" x14ac:dyDescent="0.4">
      <c r="A9" s="25"/>
      <c r="B9" s="72" t="s">
        <v>2</v>
      </c>
      <c r="C9" s="72"/>
      <c r="D9" s="2"/>
      <c r="E9" s="2"/>
      <c r="F9" s="2"/>
    </row>
    <row r="10" spans="1:8" s="1" customFormat="1" ht="21.75" customHeight="1" x14ac:dyDescent="0.2">
      <c r="A10" s="3" t="s">
        <v>3</v>
      </c>
      <c r="B10" s="4" t="s">
        <v>10</v>
      </c>
      <c r="C10" s="4" t="s">
        <v>11</v>
      </c>
      <c r="D10" s="27" t="s">
        <v>12</v>
      </c>
      <c r="E10" s="27" t="s">
        <v>13</v>
      </c>
      <c r="F10" s="28" t="s">
        <v>76</v>
      </c>
    </row>
    <row r="11" spans="1:8" s="1" customFormat="1" ht="24" customHeight="1" x14ac:dyDescent="0.2">
      <c r="A11" s="73" t="s">
        <v>30</v>
      </c>
      <c r="B11" s="73"/>
      <c r="C11" s="73"/>
      <c r="D11" s="73"/>
      <c r="E11" s="73"/>
      <c r="F11" s="73"/>
    </row>
    <row r="12" spans="1:8" s="1" customFormat="1" ht="24" customHeight="1" x14ac:dyDescent="0.25">
      <c r="A12" s="18" t="s">
        <v>77</v>
      </c>
      <c r="B12" s="24">
        <v>0</v>
      </c>
      <c r="C12" s="24">
        <f>23100+16400+8200</f>
        <v>47700</v>
      </c>
      <c r="D12" s="21">
        <f>B12+C12</f>
        <v>47700</v>
      </c>
      <c r="E12" s="21">
        <v>1274670.02</v>
      </c>
      <c r="F12" s="21">
        <f>E12-D12</f>
        <v>1226970.02</v>
      </c>
      <c r="H12" s="43" t="s">
        <v>96</v>
      </c>
    </row>
    <row r="13" spans="1:8" s="1" customFormat="1" ht="24" customHeight="1" x14ac:dyDescent="0.25">
      <c r="A13" s="36" t="s">
        <v>97</v>
      </c>
      <c r="B13" s="24">
        <v>0</v>
      </c>
      <c r="C13" s="24">
        <v>0</v>
      </c>
      <c r="D13" s="21">
        <f t="shared" ref="D13:D15" si="1">B13+C13</f>
        <v>0</v>
      </c>
      <c r="E13" s="21">
        <v>1585.74</v>
      </c>
      <c r="F13" s="21">
        <f t="shared" ref="F13:F15" si="2">E13-D13</f>
        <v>1585.74</v>
      </c>
    </row>
    <row r="14" spans="1:8" s="1" customFormat="1" ht="24" customHeight="1" x14ac:dyDescent="0.25">
      <c r="A14" s="18" t="s">
        <v>98</v>
      </c>
      <c r="B14" s="24">
        <v>0</v>
      </c>
      <c r="C14" s="24">
        <v>178976.56</v>
      </c>
      <c r="D14" s="21">
        <f t="shared" si="1"/>
        <v>178976.56</v>
      </c>
      <c r="E14" s="21">
        <v>86474</v>
      </c>
      <c r="F14" s="21">
        <f t="shared" si="2"/>
        <v>-92502.56</v>
      </c>
    </row>
    <row r="15" spans="1:8" s="1" customFormat="1" ht="24" customHeight="1" x14ac:dyDescent="0.25">
      <c r="A15" s="36" t="s">
        <v>78</v>
      </c>
      <c r="B15" s="24">
        <v>0</v>
      </c>
      <c r="C15" s="24">
        <v>0</v>
      </c>
      <c r="D15" s="21">
        <f t="shared" si="1"/>
        <v>0</v>
      </c>
      <c r="E15" s="21">
        <v>0</v>
      </c>
      <c r="F15" s="21">
        <f t="shared" si="2"/>
        <v>0</v>
      </c>
    </row>
    <row r="16" spans="1:8" s="1" customFormat="1" ht="19.5" customHeight="1" x14ac:dyDescent="0.2">
      <c r="A16" s="10" t="s">
        <v>71</v>
      </c>
      <c r="B16" s="11">
        <f>SUM(B12:B15)</f>
        <v>0</v>
      </c>
      <c r="C16" s="11">
        <f>SUM(C12:C15)</f>
        <v>226676.56</v>
      </c>
      <c r="D16" s="11">
        <f>SUM(D12:D15)</f>
        <v>226676.56</v>
      </c>
      <c r="E16" s="11">
        <f>SUM(E12:E15)</f>
        <v>1362729.76</v>
      </c>
      <c r="F16" s="11">
        <f>SUM(F12:F15)</f>
        <v>1136053.2</v>
      </c>
    </row>
    <row r="19" spans="1:2" x14ac:dyDescent="0.25">
      <c r="A19" s="63" t="s">
        <v>73</v>
      </c>
      <c r="B19" s="64"/>
    </row>
    <row r="20" spans="1:2" x14ac:dyDescent="0.25">
      <c r="A20" s="65" t="s">
        <v>99</v>
      </c>
      <c r="B20" s="66"/>
    </row>
    <row r="21" spans="1:2" ht="26.25" x14ac:dyDescent="0.25">
      <c r="A21" s="67">
        <v>1745336.44</v>
      </c>
      <c r="B21" s="68"/>
    </row>
  </sheetData>
  <mergeCells count="8">
    <mergeCell ref="A19:B19"/>
    <mergeCell ref="A20:B20"/>
    <mergeCell ref="A21:B21"/>
    <mergeCell ref="A1:F1"/>
    <mergeCell ref="B2:C2"/>
    <mergeCell ref="A4:F4"/>
    <mergeCell ref="B9:C9"/>
    <mergeCell ref="A11:F1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Morris 602</vt:lpstr>
      <vt:lpstr>Morris 416</vt:lpstr>
      <vt:lpstr>Palais 221</vt:lpstr>
      <vt:lpstr>CC 671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Khawla Amouri</cp:lastModifiedBy>
  <cp:revision>0</cp:revision>
  <dcterms:created xsi:type="dcterms:W3CDTF">2026-05-06T16:46:47Z</dcterms:created>
  <dcterms:modified xsi:type="dcterms:W3CDTF">2026-07-31T14:16:06Z</dcterms:modified>
  <cp:category/>
  <cp:contentStatus/>
</cp:coreProperties>
</file>